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xcel\2024 Affordability Assessments\Master Calculator\12 - December 2024\"/>
    </mc:Choice>
  </mc:AlternateContent>
  <xr:revisionPtr revIDLastSave="0" documentId="13_ncr:1_{AA61E6E9-3421-4D64-9228-3414193A1276}" xr6:coauthVersionLast="47" xr6:coauthVersionMax="47" xr10:uidLastSave="{00000000-0000-0000-0000-000000000000}"/>
  <workbookProtection workbookAlgorithmName="SHA-512" workbookHashValue="nKzXsJcnkVNQ9DWVp/eUqZHkWZ63JkSUMBA50tNdE6+9/yChSw8kpjdYYH345Ck+mN7pSov0QpcyHAgKwIk8AQ==" workbookSaltValue="Rx0A7iNEwJXSgkTJst7Y/g==" workbookSpinCount="100000" lockStructure="1"/>
  <bookViews>
    <workbookView xWindow="15240" yWindow="-120" windowWidth="29040" windowHeight="15840" tabRatio="745" firstSheet="1" activeTab="1" xr2:uid="{00000000-000D-0000-FFFF-FFFF00000000}"/>
  </bookViews>
  <sheets>
    <sheet name="Calculator" sheetId="4" state="veryHidden" r:id="rId1"/>
    <sheet name="Affordability" sheetId="1" r:id="rId2"/>
    <sheet name="Net (1) workings" sheetId="2" state="veryHidden" r:id="rId3"/>
    <sheet name="Net (2) workings" sheetId="3" state="veryHidden" r:id="rId4"/>
    <sheet name="Income Multiple Calc" sheetId="5" state="veryHidden" r:id="rId5"/>
  </sheets>
  <definedNames>
    <definedName name="_xlnm._FilterDatabase" localSheetId="1" hidden="1">Affordability!$AG$8:$AG$44</definedName>
    <definedName name="No">Affordability!$Y$9:$Y$22</definedName>
    <definedName name="NoRates">Affordability!$AA$9:$AA$26</definedName>
    <definedName name="_xlnm.Print_Area" localSheetId="1">Affordability!$A$7:$O$116</definedName>
    <definedName name="Yes">Affordability!$X$9:$X$17</definedName>
    <definedName name="YesRates">Affordability!$Z$9:$Z$29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M13" i="4"/>
  <c r="E30" i="1"/>
  <c r="D30" i="1"/>
  <c r="B33" i="1"/>
  <c r="B16" i="1"/>
  <c r="D15" i="1"/>
  <c r="F68" i="1"/>
  <c r="H13" i="3" l="1"/>
  <c r="F15" i="3" l="1"/>
  <c r="F14" i="3"/>
  <c r="F13" i="3"/>
  <c r="F11" i="3"/>
  <c r="F10" i="3"/>
  <c r="F9" i="3"/>
  <c r="F6" i="3"/>
  <c r="F5" i="3"/>
  <c r="F4" i="3"/>
  <c r="L114" i="1" l="1"/>
  <c r="A21" i="1" l="1"/>
  <c r="D13" i="1" l="1"/>
  <c r="F50" i="1" l="1"/>
  <c r="H4" i="3" l="1"/>
  <c r="H5" i="3"/>
  <c r="F70" i="1" l="1"/>
  <c r="J70" i="1" s="1"/>
  <c r="L70" i="1" s="1"/>
  <c r="O70" i="1" s="1"/>
  <c r="J22" i="1"/>
  <c r="L22" i="1" s="1"/>
  <c r="O22" i="1" s="1"/>
  <c r="C11" i="4"/>
  <c r="H11" i="4" s="1"/>
  <c r="M11" i="4" s="1"/>
  <c r="D26" i="1"/>
  <c r="D27" i="1"/>
  <c r="D28" i="1"/>
  <c r="D29" i="1"/>
  <c r="D31" i="1"/>
  <c r="E26" i="1"/>
  <c r="E27" i="1"/>
  <c r="E28" i="1"/>
  <c r="E29" i="1"/>
  <c r="E31" i="1"/>
  <c r="O13" i="4"/>
  <c r="M21" i="4" s="1"/>
  <c r="C15" i="4"/>
  <c r="E15" i="4" s="1"/>
  <c r="C13" i="4"/>
  <c r="E13" i="4" s="1"/>
  <c r="J13" i="4"/>
  <c r="H21" i="4" s="1"/>
  <c r="H14" i="3"/>
  <c r="C33" i="1"/>
  <c r="H15" i="3"/>
  <c r="G15" i="3"/>
  <c r="G14" i="3"/>
  <c r="G13" i="3"/>
  <c r="H11" i="3"/>
  <c r="G11" i="3"/>
  <c r="H10" i="3"/>
  <c r="G10" i="3"/>
  <c r="H9" i="3"/>
  <c r="G9" i="3"/>
  <c r="G5" i="3"/>
  <c r="G6" i="3"/>
  <c r="H6" i="3"/>
  <c r="G4" i="3"/>
  <c r="H15" i="4" l="1"/>
  <c r="J15" i="4" s="1"/>
  <c r="H23" i="4" s="1"/>
  <c r="H25" i="4" s="1"/>
  <c r="E33" i="1"/>
  <c r="D33" i="1"/>
  <c r="M27" i="4"/>
  <c r="H27" i="4"/>
  <c r="C21" i="4"/>
  <c r="C27" i="4"/>
  <c r="B4" i="2" l="1"/>
  <c r="B90" i="1"/>
  <c r="E19" i="5" s="1"/>
  <c r="E24" i="5" s="1"/>
  <c r="N34" i="1" s="1"/>
  <c r="M15" i="4"/>
  <c r="O15" i="4" s="1"/>
  <c r="M23" i="4" s="1"/>
  <c r="M25" i="4" s="1"/>
  <c r="M29" i="4" s="1"/>
  <c r="O79" i="1" s="1"/>
  <c r="B4" i="3"/>
  <c r="B27" i="3" s="1"/>
  <c r="B29" i="3" s="1"/>
  <c r="B30" i="3" s="1"/>
  <c r="B34" i="3" s="1"/>
  <c r="C23" i="4"/>
  <c r="C25" i="4" s="1"/>
  <c r="C29" i="4" s="1"/>
  <c r="H29" i="4"/>
  <c r="B27" i="2" l="1"/>
  <c r="B29" i="2" s="1"/>
  <c r="B30" i="2" s="1"/>
  <c r="B33" i="3"/>
  <c r="H1" i="3" s="1"/>
  <c r="B6" i="3" s="1"/>
  <c r="B8" i="3" s="1"/>
  <c r="B11" i="3" s="1"/>
  <c r="C4" i="3"/>
  <c r="C15" i="3" s="1"/>
  <c r="B15" i="3" s="1"/>
  <c r="C4" i="2"/>
  <c r="M34" i="4"/>
  <c r="H34" i="4"/>
  <c r="L79" i="1"/>
  <c r="J17" i="4"/>
  <c r="O17" i="4"/>
  <c r="E17" i="4"/>
  <c r="J79" i="1"/>
  <c r="C34" i="4"/>
  <c r="B33" i="2" l="1"/>
  <c r="H1" i="2" s="1"/>
  <c r="B6" i="2" s="1"/>
  <c r="C6" i="2" s="1"/>
  <c r="C8" i="2" s="1"/>
  <c r="B34" i="2"/>
  <c r="C16" i="2"/>
  <c r="B16" i="2" s="1"/>
  <c r="C17" i="2"/>
  <c r="B17" i="2" s="1"/>
  <c r="C17" i="3"/>
  <c r="B17" i="3" s="1"/>
  <c r="C6" i="3"/>
  <c r="C8" i="3" s="1"/>
  <c r="C16" i="3"/>
  <c r="B16" i="3" s="1"/>
  <c r="B10" i="3"/>
  <c r="B12" i="3"/>
  <c r="C15" i="2"/>
  <c r="B8" i="2" l="1"/>
  <c r="B10" i="2" s="1"/>
  <c r="C18" i="2"/>
  <c r="B15" i="2"/>
  <c r="B18" i="2" s="1"/>
  <c r="B13" i="3"/>
  <c r="C18" i="3"/>
  <c r="B18" i="3"/>
  <c r="B12" i="2" l="1"/>
  <c r="B11" i="2"/>
  <c r="B21" i="3"/>
  <c r="C35" i="1" s="1"/>
  <c r="C13" i="3"/>
  <c r="C21" i="3" s="1"/>
  <c r="B13" i="2" l="1"/>
  <c r="C13" i="2" s="1"/>
  <c r="C21" i="2" s="1"/>
  <c r="F33" i="1" s="1"/>
  <c r="J33" i="1" s="1"/>
  <c r="L33" i="1" s="1"/>
  <c r="B21" i="2" l="1"/>
  <c r="B35" i="1" s="1"/>
  <c r="J75" i="1"/>
  <c r="J83" i="1" s="1"/>
  <c r="O33" i="1"/>
  <c r="L75" i="1"/>
  <c r="L83" i="1" s="1"/>
  <c r="O75" i="1" l="1"/>
  <c r="O83" i="1" s="1"/>
  <c r="B86" i="1" s="1"/>
  <c r="B84" i="1" l="1"/>
</calcChain>
</file>

<file path=xl/sharedStrings.xml><?xml version="1.0" encoding="utf-8"?>
<sst xmlns="http://schemas.openxmlformats.org/spreadsheetml/2006/main" count="249" uniqueCount="171">
  <si>
    <t>Affordability Assessment</t>
  </si>
  <si>
    <t>Income</t>
  </si>
  <si>
    <t>Employment</t>
  </si>
  <si>
    <t>£</t>
  </si>
  <si>
    <t>Other income</t>
  </si>
  <si>
    <t>Total  (A)</t>
  </si>
  <si>
    <t>Expenditure</t>
  </si>
  <si>
    <t>Credit cards</t>
  </si>
  <si>
    <t>Loans/HP</t>
  </si>
  <si>
    <t>Other</t>
  </si>
  <si>
    <t>Total  (B)</t>
  </si>
  <si>
    <t>Mortgage Cost  (D)</t>
  </si>
  <si>
    <t>Total  (A)  -  Total  (B) = ( C)</t>
  </si>
  <si>
    <t>Disposable Income ( C )</t>
  </si>
  <si>
    <t>Net Disposable Income  (E)</t>
  </si>
  <si>
    <t>Monthly</t>
  </si>
  <si>
    <t>Borrower(s):</t>
  </si>
  <si>
    <t>Gross Annual (1)</t>
  </si>
  <si>
    <t>Gross Annual (2)</t>
  </si>
  <si>
    <t>Tax Free Allowance</t>
  </si>
  <si>
    <t>Annual</t>
  </si>
  <si>
    <t>Tax Rate</t>
  </si>
  <si>
    <t>Income Range</t>
  </si>
  <si>
    <t>Gross Annual Income</t>
  </si>
  <si>
    <t xml:space="preserve">0 to </t>
  </si>
  <si>
    <t>Taxable Amount</t>
  </si>
  <si>
    <t>Tax @ 40%</t>
  </si>
  <si>
    <t>Total Tax</t>
  </si>
  <si>
    <t>Net</t>
  </si>
  <si>
    <t>National Insurance NIL</t>
  </si>
  <si>
    <t>NIC Rate</t>
  </si>
  <si>
    <t>Weekly Inc</t>
  </si>
  <si>
    <t>0 to</t>
  </si>
  <si>
    <t>Monthly Inc</t>
  </si>
  <si>
    <t>Total National Insurance</t>
  </si>
  <si>
    <t>Outcome</t>
  </si>
  <si>
    <t>Income Multiple Assessment</t>
  </si>
  <si>
    <t>National Insurance 12%</t>
  </si>
  <si>
    <t>National Insurance 2%</t>
  </si>
  <si>
    <t>Tax @ 20%</t>
  </si>
  <si>
    <t>Motoring - Petrol, insurance, tax</t>
  </si>
  <si>
    <t>Transport</t>
  </si>
  <si>
    <t>Clothing</t>
  </si>
  <si>
    <t>Life insurance/pension</t>
  </si>
  <si>
    <t>Standard Income Multiples = Single x 4.00   Joint x 4.00   Up to 80% LTV</t>
  </si>
  <si>
    <t>Standard Income Multiples = Single x 3.75   Joint x 3.75   Up to 90% LTV</t>
  </si>
  <si>
    <t>Committed expenditure</t>
  </si>
  <si>
    <t>Childcare</t>
  </si>
  <si>
    <t>Alimony/maintenance</t>
  </si>
  <si>
    <t>Cost of repayment strategy (interest only)</t>
  </si>
  <si>
    <t>Basic essential expenditure</t>
  </si>
  <si>
    <t>Housekeeping/food/washing</t>
  </si>
  <si>
    <t>Gas/electricity/oil</t>
  </si>
  <si>
    <t>Rates &amp; Ground Rent</t>
  </si>
  <si>
    <t>Buildings insurance</t>
  </si>
  <si>
    <t>Service Charge</t>
  </si>
  <si>
    <t>Basic quality of living costs</t>
  </si>
  <si>
    <t>Household goods (furniture, appliances)</t>
  </si>
  <si>
    <t>Personal goods (toiletries etc)</t>
  </si>
  <si>
    <t>Irregular Overtime</t>
  </si>
  <si>
    <t>Bonus/Commission</t>
  </si>
  <si>
    <t>Cost of other mortgages not to be repaid</t>
  </si>
  <si>
    <t>Annual (net)</t>
  </si>
  <si>
    <t>Daily Interest Calculation</t>
  </si>
  <si>
    <t xml:space="preserve">Formulae for the calculator = </t>
  </si>
  <si>
    <r>
      <t xml:space="preserve">pmt = pv *  i / (1 - (1 + i) </t>
    </r>
    <r>
      <rPr>
        <b/>
        <vertAlign val="superscript"/>
        <sz val="12"/>
        <rFont val="Times New Roman"/>
        <family val="1"/>
      </rPr>
      <t xml:space="preserve">-n </t>
    </r>
    <r>
      <rPr>
        <b/>
        <sz val="12"/>
        <rFont val="Times New Roman"/>
        <family val="1"/>
      </rPr>
      <t>)</t>
    </r>
  </si>
  <si>
    <t xml:space="preserve">As an example, let us take a mortgage of £100,000 over 25 years at the rate of 4.75% pa compounding monthly.  </t>
  </si>
  <si>
    <t>Formulae requirements</t>
  </si>
  <si>
    <t>Date Entry Cells</t>
  </si>
  <si>
    <t>Present value (loan amount)</t>
  </si>
  <si>
    <t>Interest rate</t>
  </si>
  <si>
    <t>i</t>
  </si>
  <si>
    <t xml:space="preserve">Length of loan </t>
  </si>
  <si>
    <t>n</t>
  </si>
  <si>
    <t>Monthly Payment</t>
  </si>
  <si>
    <t>pmt</t>
  </si>
  <si>
    <t>1+ i =</t>
  </si>
  <si>
    <t>(1+ i)^-n =</t>
  </si>
  <si>
    <t>(1 - (1 + i)^-n )</t>
  </si>
  <si>
    <t>pv * i</t>
  </si>
  <si>
    <r>
      <t xml:space="preserve">pv </t>
    </r>
    <r>
      <rPr>
        <sz val="7.5"/>
        <rFont val="Times New Roman"/>
        <family val="1"/>
      </rPr>
      <t xml:space="preserve">x </t>
    </r>
    <r>
      <rPr>
        <sz val="10"/>
        <rFont val="Times New Roman"/>
        <family val="1"/>
      </rPr>
      <t xml:space="preserve"> i / (1 - (1 + i) </t>
    </r>
    <r>
      <rPr>
        <vertAlign val="superscript"/>
        <sz val="10"/>
        <rFont val="Times New Roman"/>
        <family val="1"/>
      </rPr>
      <t xml:space="preserve">-n </t>
    </r>
    <r>
      <rPr>
        <sz val="10"/>
        <rFont val="Times New Roman"/>
        <family val="1"/>
      </rPr>
      <t>)</t>
    </r>
  </si>
  <si>
    <t>CSR 2 MDINT Payment</t>
  </si>
  <si>
    <t>Difference</t>
  </si>
  <si>
    <t>Key</t>
  </si>
  <si>
    <t>Data Entry Cells</t>
  </si>
  <si>
    <t>Formula answer</t>
  </si>
  <si>
    <t>Calculator for deal</t>
  </si>
  <si>
    <t>Calculator for base</t>
  </si>
  <si>
    <t>Calculator for Stress</t>
  </si>
  <si>
    <t>Base</t>
  </si>
  <si>
    <t>Stressed Base</t>
  </si>
  <si>
    <t>Proceed to Application</t>
  </si>
  <si>
    <t>Initial Rate</t>
  </si>
  <si>
    <t>Initial Deal</t>
  </si>
  <si>
    <t>(Capital + Interest)</t>
  </si>
  <si>
    <t>Date</t>
  </si>
  <si>
    <t>Standard Income Multiples = Single x 3.50   Joint x 3.50  Up to 95% LTV</t>
  </si>
  <si>
    <t>Telephone(s)</t>
  </si>
  <si>
    <t>Combined Net Monthly</t>
  </si>
  <si>
    <t>Duration (years)</t>
  </si>
  <si>
    <t>LTV</t>
  </si>
  <si>
    <t>Result</t>
  </si>
  <si>
    <t>Total Committed Expenditure</t>
  </si>
  <si>
    <t>Total Basic Essential/Living Costs</t>
  </si>
  <si>
    <t>Duration (months)</t>
  </si>
  <si>
    <t>Tax @ 45%</t>
  </si>
  <si>
    <t>Total Income</t>
  </si>
  <si>
    <t>Higher rate threshold</t>
  </si>
  <si>
    <t>Amount above threshold</t>
  </si>
  <si>
    <t>Reduction in Tax free amount</t>
  </si>
  <si>
    <t>Regular Overtime</t>
  </si>
  <si>
    <t>Product:</t>
  </si>
  <si>
    <t>No</t>
  </si>
  <si>
    <t>Yes</t>
  </si>
  <si>
    <t>YesRates</t>
  </si>
  <si>
    <t>NoRates</t>
  </si>
  <si>
    <t>Professional Product:</t>
  </si>
  <si>
    <t>Professional Products</t>
  </si>
  <si>
    <t>Professional Rates</t>
  </si>
  <si>
    <t>Non-Pro Rates</t>
  </si>
  <si>
    <t>Non-Pro Products</t>
  </si>
  <si>
    <t>Number of Dependants:</t>
  </si>
  <si>
    <t>House Purchase - 2 Year Variable Discount</t>
  </si>
  <si>
    <t>House Purchase - 2 Year Variable Discount (GREEN MORTGAGE)</t>
  </si>
  <si>
    <t>House Purchase - 2 Year Fixed Rate</t>
  </si>
  <si>
    <t>Remortgage - 2 Year Variable Discount</t>
  </si>
  <si>
    <t>Remortgage - 2 Year Fixed Rate</t>
  </si>
  <si>
    <t>Self Build - 3 Year Variable Discount</t>
  </si>
  <si>
    <t>NICO - 2 Year Variable Discount</t>
  </si>
  <si>
    <t>&gt; 967</t>
  </si>
  <si>
    <t>&gt; 4189</t>
  </si>
  <si>
    <t>Mortgage Amount (to include added fees)</t>
  </si>
  <si>
    <t>Remortgage - 2 Year Variable Discount (Renovation Remortgage)</t>
  </si>
  <si>
    <t>Remortgage - 2 Year Fixed Rate (Renovation Remortgage)</t>
  </si>
  <si>
    <t>Remortgage List</t>
  </si>
  <si>
    <t>Remortgage with Additional Funds</t>
  </si>
  <si>
    <t>Remortgage with no additional funds (fees permitted)*</t>
  </si>
  <si>
    <t>Remortgage:</t>
  </si>
  <si>
    <t>Basic Recreation</t>
  </si>
  <si>
    <t>National Insurance: introduction: How much you pay - GOV.UK (www.gov.uk)</t>
  </si>
  <si>
    <t>190.01 to</t>
  </si>
  <si>
    <t>37701 to</t>
  </si>
  <si>
    <t>1048.01 to</t>
  </si>
  <si>
    <t>Self Employed</t>
  </si>
  <si>
    <t>Is the loan Greater than 80% LTV?</t>
  </si>
  <si>
    <t>Rental income</t>
  </si>
  <si>
    <t>&gt; 125140</t>
  </si>
  <si>
    <t>Rates and thresholds for employers 2023 to 2024 - GOV.UK (www.gov.uk)</t>
  </si>
  <si>
    <t>Data entry fields</t>
  </si>
  <si>
    <t>Standard Income Multiples</t>
  </si>
  <si>
    <t>Up to 80% LTV</t>
  </si>
  <si>
    <t>Up to 90% LTV</t>
  </si>
  <si>
    <t>Up to 95% LTV</t>
  </si>
  <si>
    <t>Up to 85% LTV</t>
  </si>
  <si>
    <t>House Purchase - 5 Year Fixed Rate</t>
  </si>
  <si>
    <t>Comments:</t>
  </si>
  <si>
    <t>Sign Off:</t>
  </si>
  <si>
    <t>Remortgage - 5 Year Fixed Rate</t>
  </si>
  <si>
    <t>NICO - 2 Year Fixed Rate</t>
  </si>
  <si>
    <t>Personal Allowance threshold</t>
  </si>
  <si>
    <t>NICO - 5 Year Fixed Rate</t>
  </si>
  <si>
    <t>PLEASE NOTE ALL CASES WILL BE SUBJECT TO INCOME MULTIPLE REQUIREMENTS AS BELOW</t>
  </si>
  <si>
    <t>Version: December 2024</t>
  </si>
  <si>
    <t>Single x 5.00   Joint x 5.00</t>
  </si>
  <si>
    <t>Single x 4.75   Joint x 4.75</t>
  </si>
  <si>
    <t>Single x 4.50  Joint x 4.50</t>
  </si>
  <si>
    <t>Single x 3.90   Joint x 3.90</t>
  </si>
  <si>
    <t>Standard Income Multiples = Single x 5.00   Joint x 5.00   Up to 80% LTV</t>
  </si>
  <si>
    <t>Standard Income Multiples = Single x 4.75   Joint x 4.75   Up to 85% LTV</t>
  </si>
  <si>
    <t>Standard Income Multiples = Single x 4.50   Joint x 4.50   Up to 90% LTV</t>
  </si>
  <si>
    <t>Standard Income Multiples = Single x 3.90   Joint x 3.90   Up to 95%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</si>
</sst>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5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b/>
      <i/>
      <sz val="16"/>
      <name val="Arial"/>
      <family val="2"/>
    </font>
    <font>
      <u/>
      <sz val="10"/>
      <color theme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36"/>
      <color theme="0"/>
      <name val="Arial"/>
      <family val="2"/>
    </font>
    <font>
      <b/>
      <sz val="2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E64438"/>
        <bgColor indexed="64"/>
      </patternFill>
    </fill>
    <fill>
      <patternFill patternType="solid">
        <fgColor rgb="FFE0E0E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6" borderId="0" applyNumberFormat="0" applyBorder="0" applyAlignment="0" applyProtection="0"/>
    <xf numFmtId="0" fontId="5" fillId="0" borderId="0"/>
    <xf numFmtId="0" fontId="30" fillId="0" borderId="0" applyNumberFormat="0" applyFill="0" applyBorder="0" applyAlignment="0" applyProtection="0"/>
  </cellStyleXfs>
  <cellXfs count="212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3" fontId="8" fillId="0" borderId="0" xfId="0" applyNumberFormat="1" applyFont="1"/>
    <xf numFmtId="0" fontId="8" fillId="0" borderId="0" xfId="0" applyFont="1"/>
    <xf numFmtId="0" fontId="0" fillId="0" borderId="0" xfId="0" applyProtection="1"/>
    <xf numFmtId="0" fontId="5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14" xfId="0" applyFont="1" applyBorder="1"/>
    <xf numFmtId="0" fontId="12" fillId="3" borderId="0" xfId="0" applyFont="1" applyFill="1" applyBorder="1"/>
    <xf numFmtId="10" fontId="12" fillId="3" borderId="0" xfId="0" applyNumberFormat="1" applyFont="1" applyFill="1" applyBorder="1"/>
    <xf numFmtId="0" fontId="12" fillId="0" borderId="15" xfId="0" applyFont="1" applyBorder="1"/>
    <xf numFmtId="0" fontId="12" fillId="0" borderId="16" xfId="0" applyFont="1" applyBorder="1"/>
    <xf numFmtId="2" fontId="12" fillId="0" borderId="17" xfId="0" applyNumberFormat="1" applyFont="1" applyBorder="1"/>
    <xf numFmtId="2" fontId="9" fillId="2" borderId="0" xfId="0" applyNumberFormat="1" applyFont="1" applyFill="1"/>
    <xf numFmtId="0" fontId="9" fillId="3" borderId="0" xfId="0" applyFont="1" applyFill="1"/>
    <xf numFmtId="2" fontId="9" fillId="0" borderId="0" xfId="0" applyNumberFormat="1" applyFont="1"/>
    <xf numFmtId="0" fontId="4" fillId="0" borderId="0" xfId="0" applyFont="1"/>
    <xf numFmtId="0" fontId="4" fillId="3" borderId="0" xfId="0" applyFont="1" applyFill="1"/>
    <xf numFmtId="0" fontId="4" fillId="2" borderId="0" xfId="0" applyFont="1" applyFill="1"/>
    <xf numFmtId="10" fontId="0" fillId="0" borderId="0" xfId="0" applyNumberFormat="1"/>
    <xf numFmtId="0" fontId="5" fillId="0" borderId="0" xfId="0" applyFont="1"/>
    <xf numFmtId="3" fontId="0" fillId="5" borderId="0" xfId="0" applyNumberFormat="1" applyFill="1"/>
    <xf numFmtId="0" fontId="2" fillId="4" borderId="0" xfId="0" applyFont="1" applyFill="1" applyBorder="1" applyProtection="1"/>
    <xf numFmtId="0" fontId="2" fillId="4" borderId="0" xfId="0" applyFont="1" applyFill="1" applyProtection="1"/>
    <xf numFmtId="0" fontId="6" fillId="4" borderId="0" xfId="0" applyFont="1" applyFill="1" applyBorder="1" applyProtection="1"/>
    <xf numFmtId="0" fontId="6" fillId="4" borderId="0" xfId="0" applyFont="1" applyFill="1" applyProtection="1"/>
    <xf numFmtId="0" fontId="0" fillId="4" borderId="0" xfId="0" applyFill="1" applyProtection="1"/>
    <xf numFmtId="0" fontId="5" fillId="4" borderId="0" xfId="0" applyFont="1" applyFill="1" applyProtection="1"/>
    <xf numFmtId="0" fontId="3" fillId="4" borderId="0" xfId="0" applyFont="1" applyFill="1" applyProtection="1"/>
    <xf numFmtId="164" fontId="1" fillId="4" borderId="0" xfId="0" applyNumberFormat="1" applyFont="1" applyFill="1" applyProtection="1"/>
    <xf numFmtId="0" fontId="1" fillId="4" borderId="0" xfId="0" applyFont="1" applyFill="1" applyProtection="1"/>
    <xf numFmtId="0" fontId="3" fillId="4" borderId="0" xfId="0" applyFont="1" applyFill="1" applyBorder="1" applyProtection="1"/>
    <xf numFmtId="0" fontId="3" fillId="4" borderId="9" xfId="0" applyFont="1" applyFill="1" applyBorder="1" applyProtection="1"/>
    <xf numFmtId="0" fontId="3" fillId="4" borderId="3" xfId="0" applyFont="1" applyFill="1" applyBorder="1" applyProtection="1"/>
    <xf numFmtId="0" fontId="17" fillId="4" borderId="0" xfId="0" applyFont="1" applyFill="1" applyProtection="1"/>
    <xf numFmtId="0" fontId="18" fillId="4" borderId="0" xfId="0" applyFont="1" applyFill="1" applyBorder="1" applyProtection="1"/>
    <xf numFmtId="0" fontId="18" fillId="4" borderId="0" xfId="0" applyFont="1" applyFill="1" applyProtection="1"/>
    <xf numFmtId="10" fontId="2" fillId="4" borderId="0" xfId="0" applyNumberFormat="1" applyFont="1" applyFill="1" applyProtection="1"/>
    <xf numFmtId="10" fontId="6" fillId="4" borderId="0" xfId="0" applyNumberFormat="1" applyFont="1" applyFill="1" applyAlignment="1" applyProtection="1">
      <alignment horizontal="right"/>
    </xf>
    <xf numFmtId="10" fontId="20" fillId="4" borderId="0" xfId="0" applyNumberFormat="1" applyFont="1" applyFill="1" applyAlignment="1" applyProtection="1">
      <alignment horizontal="right"/>
    </xf>
    <xf numFmtId="10" fontId="6" fillId="4" borderId="0" xfId="0" applyNumberFormat="1" applyFont="1" applyFill="1" applyProtection="1"/>
    <xf numFmtId="10" fontId="0" fillId="4" borderId="0" xfId="0" applyNumberFormat="1" applyFill="1" applyProtection="1"/>
    <xf numFmtId="10" fontId="5" fillId="4" borderId="0" xfId="0" applyNumberFormat="1" applyFont="1" applyFill="1" applyProtection="1"/>
    <xf numFmtId="10" fontId="3" fillId="4" borderId="0" xfId="0" applyNumberFormat="1" applyFont="1" applyFill="1" applyProtection="1"/>
    <xf numFmtId="10" fontId="1" fillId="4" borderId="0" xfId="0" applyNumberFormat="1" applyFont="1" applyFill="1" applyProtection="1"/>
    <xf numFmtId="0" fontId="19" fillId="4" borderId="0" xfId="0" applyFont="1" applyFill="1" applyProtection="1"/>
    <xf numFmtId="9" fontId="6" fillId="4" borderId="0" xfId="2" applyFont="1" applyFill="1" applyAlignment="1" applyProtection="1">
      <alignment horizontal="center"/>
    </xf>
    <xf numFmtId="0" fontId="6" fillId="4" borderId="9" xfId="0" applyFont="1" applyFill="1" applyBorder="1" applyAlignment="1" applyProtection="1">
      <alignment horizontal="left"/>
    </xf>
    <xf numFmtId="0" fontId="1" fillId="4" borderId="9" xfId="0" applyFont="1" applyFill="1" applyBorder="1" applyProtection="1"/>
    <xf numFmtId="0" fontId="23" fillId="6" borderId="9" xfId="3" applyFont="1" applyBorder="1" applyAlignment="1" applyProtection="1">
      <alignment horizontal="center" vertical="center"/>
    </xf>
    <xf numFmtId="0" fontId="23" fillId="6" borderId="0" xfId="3" applyFont="1" applyBorder="1" applyAlignment="1" applyProtection="1">
      <alignment horizontal="center" vertical="center"/>
    </xf>
    <xf numFmtId="0" fontId="23" fillId="6" borderId="0" xfId="3" applyFont="1" applyAlignment="1" applyProtection="1">
      <alignment horizontal="center" vertical="center"/>
    </xf>
    <xf numFmtId="0" fontId="0" fillId="4" borderId="9" xfId="0" applyFill="1" applyBorder="1"/>
    <xf numFmtId="0" fontId="5" fillId="4" borderId="9" xfId="0" applyFont="1" applyFill="1" applyBorder="1"/>
    <xf numFmtId="10" fontId="3" fillId="0" borderId="0" xfId="2" applyNumberFormat="1" applyFont="1"/>
    <xf numFmtId="10" fontId="3" fillId="0" borderId="0" xfId="1" applyNumberFormat="1" applyFont="1"/>
    <xf numFmtId="0" fontId="26" fillId="4" borderId="0" xfId="0" applyFont="1" applyFill="1" applyBorder="1" applyProtection="1"/>
    <xf numFmtId="0" fontId="26" fillId="4" borderId="0" xfId="0" applyFont="1" applyFill="1" applyBorder="1" applyAlignment="1" applyProtection="1">
      <alignment horizontal="center"/>
    </xf>
    <xf numFmtId="0" fontId="26" fillId="4" borderId="0" xfId="0" applyFont="1" applyFill="1" applyProtection="1"/>
    <xf numFmtId="164" fontId="24" fillId="4" borderId="18" xfId="0" applyNumberFormat="1" applyFont="1" applyFill="1" applyBorder="1" applyProtection="1"/>
    <xf numFmtId="164" fontId="24" fillId="4" borderId="0" xfId="0" applyNumberFormat="1" applyFont="1" applyFill="1" applyBorder="1" applyProtection="1"/>
    <xf numFmtId="164" fontId="26" fillId="4" borderId="0" xfId="0" applyNumberFormat="1" applyFont="1" applyFill="1" applyBorder="1" applyProtection="1"/>
    <xf numFmtId="164" fontId="24" fillId="4" borderId="4" xfId="0" applyNumberFormat="1" applyFont="1" applyFill="1" applyBorder="1" applyProtection="1"/>
    <xf numFmtId="0" fontId="2" fillId="4" borderId="0" xfId="0" applyFont="1" applyFill="1"/>
    <xf numFmtId="0" fontId="3" fillId="4" borderId="0" xfId="0" applyFont="1" applyFill="1"/>
    <xf numFmtId="9" fontId="6" fillId="4" borderId="0" xfId="1" applyFont="1" applyFill="1" applyAlignment="1" applyProtection="1">
      <alignment horizontal="center"/>
    </xf>
    <xf numFmtId="0" fontId="1" fillId="4" borderId="0" xfId="0" applyFont="1" applyFill="1"/>
    <xf numFmtId="10" fontId="0" fillId="0" borderId="0" xfId="2" applyNumberFormat="1" applyFont="1"/>
    <xf numFmtId="10" fontId="2" fillId="4" borderId="0" xfId="0" applyNumberFormat="1" applyFont="1" applyFill="1"/>
    <xf numFmtId="0" fontId="6" fillId="4" borderId="0" xfId="0" applyFont="1" applyFill="1" applyAlignment="1">
      <alignment horizontal="left" vertical="top"/>
    </xf>
    <xf numFmtId="0" fontId="30" fillId="0" borderId="0" xfId="5"/>
    <xf numFmtId="3" fontId="0" fillId="0" borderId="0" xfId="0" applyNumberFormat="1" applyFill="1"/>
    <xf numFmtId="1" fontId="0" fillId="5" borderId="0" xfId="0" applyNumberFormat="1" applyFill="1"/>
    <xf numFmtId="10" fontId="12" fillId="5" borderId="0" xfId="0" applyNumberFormat="1" applyFont="1" applyFill="1" applyBorder="1"/>
    <xf numFmtId="10" fontId="12" fillId="0" borderId="0" xfId="2" applyNumberFormat="1" applyFont="1" applyBorder="1"/>
    <xf numFmtId="0" fontId="0" fillId="7" borderId="9" xfId="0" applyFill="1" applyBorder="1" applyAlignment="1"/>
    <xf numFmtId="0" fontId="0" fillId="7" borderId="0" xfId="0" applyFill="1" applyBorder="1" applyAlignment="1"/>
    <xf numFmtId="0" fontId="26" fillId="8" borderId="6" xfId="0" applyFont="1" applyFill="1" applyBorder="1" applyProtection="1">
      <protection locked="0"/>
    </xf>
    <xf numFmtId="164" fontId="24" fillId="8" borderId="6" xfId="0" applyNumberFormat="1" applyFont="1" applyFill="1" applyBorder="1" applyProtection="1">
      <protection locked="0"/>
    </xf>
    <xf numFmtId="165" fontId="24" fillId="8" borderId="6" xfId="0" applyNumberFormat="1" applyFont="1" applyFill="1" applyBorder="1" applyProtection="1">
      <protection locked="0"/>
    </xf>
    <xf numFmtId="0" fontId="24" fillId="8" borderId="6" xfId="0" applyFont="1" applyFill="1" applyBorder="1" applyProtection="1">
      <protection locked="0"/>
    </xf>
    <xf numFmtId="10" fontId="24" fillId="8" borderId="6" xfId="0" applyNumberFormat="1" applyFont="1" applyFill="1" applyBorder="1" applyProtection="1">
      <protection locked="0"/>
    </xf>
    <xf numFmtId="0" fontId="19" fillId="4" borderId="0" xfId="0" applyFont="1" applyFill="1" applyBorder="1" applyAlignment="1" applyProtection="1">
      <alignment vertical="center"/>
    </xf>
    <xf numFmtId="0" fontId="0" fillId="7" borderId="8" xfId="0" applyFill="1" applyBorder="1" applyAlignment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7" borderId="7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25" fillId="4" borderId="8" xfId="0" applyFont="1" applyFill="1" applyBorder="1" applyAlignment="1" applyProtection="1">
      <alignment vertical="center"/>
    </xf>
    <xf numFmtId="0" fontId="25" fillId="4" borderId="1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6" fillId="4" borderId="9" xfId="0" applyFont="1" applyFill="1" applyBorder="1" applyAlignment="1" applyProtection="1">
      <alignment vertical="center"/>
    </xf>
    <xf numFmtId="0" fontId="6" fillId="4" borderId="3" xfId="0" applyFont="1" applyFill="1" applyBorder="1" applyProtection="1"/>
    <xf numFmtId="0" fontId="26" fillId="4" borderId="9" xfId="0" applyFont="1" applyFill="1" applyBorder="1" applyProtection="1"/>
    <xf numFmtId="0" fontId="26" fillId="4" borderId="9" xfId="0" applyFont="1" applyFill="1" applyBorder="1" applyAlignment="1" applyProtection="1">
      <alignment vertical="center" wrapText="1"/>
    </xf>
    <xf numFmtId="0" fontId="0" fillId="4" borderId="0" xfId="0" applyFill="1" applyBorder="1" applyProtection="1"/>
    <xf numFmtId="0" fontId="0" fillId="4" borderId="3" xfId="0" applyFill="1" applyBorder="1" applyProtection="1"/>
    <xf numFmtId="0" fontId="5" fillId="4" borderId="0" xfId="0" applyFont="1" applyFill="1" applyBorder="1" applyProtection="1"/>
    <xf numFmtId="0" fontId="5" fillId="4" borderId="3" xfId="0" applyFont="1" applyFill="1" applyBorder="1" applyProtection="1"/>
    <xf numFmtId="0" fontId="26" fillId="4" borderId="7" xfId="0" applyFont="1" applyFill="1" applyBorder="1" applyProtection="1"/>
    <xf numFmtId="0" fontId="26" fillId="4" borderId="0" xfId="0" applyFont="1" applyFill="1" applyBorder="1" applyAlignment="1" applyProtection="1">
      <alignment horizontal="center" vertical="top" wrapText="1"/>
    </xf>
    <xf numFmtId="0" fontId="26" fillId="4" borderId="0" xfId="0" applyFont="1" applyFill="1" applyBorder="1" applyAlignment="1" applyProtection="1">
      <alignment vertical="top" wrapText="1"/>
    </xf>
    <xf numFmtId="0" fontId="26" fillId="4" borderId="3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24" fillId="4" borderId="9" xfId="0" applyFont="1" applyFill="1" applyBorder="1" applyProtection="1"/>
    <xf numFmtId="164" fontId="24" fillId="4" borderId="3" xfId="0" applyNumberFormat="1" applyFont="1" applyFill="1" applyBorder="1" applyProtection="1"/>
    <xf numFmtId="164" fontId="24" fillId="4" borderId="19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3" xfId="0" applyNumberFormat="1" applyFont="1" applyFill="1" applyBorder="1" applyProtection="1"/>
    <xf numFmtId="164" fontId="26" fillId="4" borderId="0" xfId="0" applyNumberFormat="1" applyFont="1" applyFill="1" applyBorder="1" applyAlignment="1" applyProtection="1">
      <alignment horizontal="center"/>
    </xf>
    <xf numFmtId="164" fontId="26" fillId="4" borderId="3" xfId="0" applyNumberFormat="1" applyFont="1" applyFill="1" applyBorder="1" applyAlignment="1" applyProtection="1">
      <alignment horizontal="center"/>
    </xf>
    <xf numFmtId="0" fontId="29" fillId="4" borderId="9" xfId="0" applyFont="1" applyFill="1" applyBorder="1" applyProtection="1"/>
    <xf numFmtId="164" fontId="29" fillId="4" borderId="0" xfId="0" applyNumberFormat="1" applyFont="1" applyFill="1" applyBorder="1" applyProtection="1"/>
    <xf numFmtId="164" fontId="24" fillId="4" borderId="0" xfId="0" applyNumberFormat="1" applyFont="1" applyFill="1" applyBorder="1" applyProtection="1">
      <protection locked="0"/>
    </xf>
    <xf numFmtId="164" fontId="24" fillId="4" borderId="3" xfId="0" applyNumberFormat="1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164" fontId="1" fillId="4" borderId="0" xfId="0" applyNumberFormat="1" applyFont="1" applyFill="1" applyBorder="1" applyProtection="1"/>
    <xf numFmtId="164" fontId="1" fillId="4" borderId="3" xfId="0" applyNumberFormat="1" applyFont="1" applyFill="1" applyBorder="1" applyProtection="1"/>
    <xf numFmtId="0" fontId="24" fillId="4" borderId="0" xfId="0" applyFont="1" applyFill="1" applyBorder="1" applyProtection="1"/>
    <xf numFmtId="0" fontId="24" fillId="4" borderId="3" xfId="0" applyFont="1" applyFill="1" applyBorder="1" applyProtection="1"/>
    <xf numFmtId="0" fontId="26" fillId="4" borderId="0" xfId="0" applyNumberFormat="1" applyFont="1" applyFill="1" applyBorder="1" applyAlignment="1" applyProtection="1">
      <alignment horizontal="center" vertical="top" wrapText="1"/>
    </xf>
    <xf numFmtId="0" fontId="24" fillId="4" borderId="0" xfId="0" applyNumberFormat="1" applyFont="1" applyFill="1" applyBorder="1" applyAlignment="1" applyProtection="1">
      <alignment horizontal="center" vertical="top" wrapText="1"/>
    </xf>
    <xf numFmtId="0" fontId="24" fillId="4" borderId="0" xfId="0" applyNumberFormat="1" applyFont="1" applyFill="1" applyBorder="1" applyAlignment="1" applyProtection="1">
      <alignment vertical="top" wrapText="1"/>
    </xf>
    <xf numFmtId="0" fontId="26" fillId="4" borderId="0" xfId="0" applyNumberFormat="1" applyFont="1" applyFill="1" applyBorder="1" applyAlignment="1" applyProtection="1">
      <alignment horizontal="right" vertical="top" wrapText="1"/>
    </xf>
    <xf numFmtId="0" fontId="26" fillId="4" borderId="3" xfId="0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>
      <alignment horizontal="left" vertical="top"/>
    </xf>
    <xf numFmtId="0" fontId="3" fillId="4" borderId="0" xfId="0" applyFont="1" applyFill="1" applyBorder="1"/>
    <xf numFmtId="0" fontId="31" fillId="0" borderId="0" xfId="0" applyFont="1" applyFill="1" applyBorder="1" applyAlignment="1" applyProtection="1">
      <alignment horizontal="center" vertical="center"/>
    </xf>
    <xf numFmtId="0" fontId="0" fillId="4" borderId="9" xfId="0" applyFill="1" applyBorder="1" applyProtection="1"/>
    <xf numFmtId="0" fontId="27" fillId="4" borderId="0" xfId="0" applyFont="1" applyFill="1" applyBorder="1" applyProtection="1"/>
    <xf numFmtId="0" fontId="27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horizontal="center"/>
    </xf>
    <xf numFmtId="0" fontId="16" fillId="4" borderId="3" xfId="0" applyFont="1" applyFill="1" applyBorder="1" applyAlignment="1" applyProtection="1">
      <alignment horizontal="center"/>
    </xf>
    <xf numFmtId="0" fontId="2" fillId="4" borderId="9" xfId="0" applyFont="1" applyFill="1" applyBorder="1" applyProtection="1"/>
    <xf numFmtId="0" fontId="19" fillId="4" borderId="0" xfId="0" applyFont="1" applyFill="1" applyBorder="1" applyAlignment="1" applyProtection="1">
      <alignment horizontal="left"/>
    </xf>
    <xf numFmtId="0" fontId="17" fillId="4" borderId="0" xfId="0" applyFont="1" applyFill="1" applyBorder="1" applyProtection="1"/>
    <xf numFmtId="0" fontId="17" fillId="4" borderId="3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3" fillId="4" borderId="3" xfId="0" quotePrefix="1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24" fillId="4" borderId="6" xfId="0" applyFont="1" applyFill="1" applyBorder="1" applyAlignment="1">
      <alignment horizontal="center" vertical="top"/>
    </xf>
    <xf numFmtId="0" fontId="24" fillId="4" borderId="6" xfId="0" applyFont="1" applyFill="1" applyBorder="1" applyAlignment="1">
      <alignment vertical="top"/>
    </xf>
    <xf numFmtId="0" fontId="26" fillId="4" borderId="0" xfId="0" applyFont="1" applyFill="1" applyBorder="1" applyAlignment="1">
      <alignment vertical="center"/>
    </xf>
    <xf numFmtId="0" fontId="0" fillId="4" borderId="0" xfId="0" applyFill="1" applyBorder="1"/>
    <xf numFmtId="0" fontId="6" fillId="4" borderId="9" xfId="0" applyFont="1" applyFill="1" applyBorder="1" applyProtection="1"/>
    <xf numFmtId="0" fontId="0" fillId="0" borderId="0" xfId="0" applyAlignment="1"/>
    <xf numFmtId="0" fontId="0" fillId="4" borderId="0" xfId="0" applyFill="1" applyBorder="1" applyAlignment="1" applyProtection="1">
      <alignment vertical="top"/>
    </xf>
    <xf numFmtId="0" fontId="6" fillId="4" borderId="0" xfId="0" applyFont="1" applyFill="1" applyBorder="1" applyAlignment="1" applyProtection="1">
      <alignment vertical="top"/>
    </xf>
    <xf numFmtId="0" fontId="0" fillId="4" borderId="4" xfId="0" applyFill="1" applyBorder="1" applyProtection="1"/>
    <xf numFmtId="0" fontId="0" fillId="4" borderId="5" xfId="0" applyFill="1" applyBorder="1" applyProtection="1"/>
    <xf numFmtId="14" fontId="18" fillId="0" borderId="6" xfId="0" applyNumberFormat="1" applyFont="1" applyBorder="1" applyAlignment="1" applyProtection="1">
      <alignment horizontal="center"/>
    </xf>
    <xf numFmtId="0" fontId="0" fillId="4" borderId="3" xfId="0" applyFill="1" applyBorder="1" applyAlignment="1"/>
    <xf numFmtId="0" fontId="0" fillId="4" borderId="0" xfId="0" applyFill="1" applyAlignment="1"/>
    <xf numFmtId="10" fontId="3" fillId="4" borderId="0" xfId="2" applyNumberFormat="1" applyFont="1" applyFill="1" applyProtection="1"/>
    <xf numFmtId="0" fontId="16" fillId="4" borderId="0" xfId="0" applyFont="1" applyFill="1" applyBorder="1" applyAlignment="1" applyProtection="1">
      <alignment horizontal="left"/>
    </xf>
    <xf numFmtId="0" fontId="34" fillId="0" borderId="0" xfId="0" applyFont="1"/>
    <xf numFmtId="0" fontId="24" fillId="4" borderId="6" xfId="0" applyFont="1" applyFill="1" applyBorder="1" applyAlignment="1">
      <alignment horizontal="center" vertical="top"/>
    </xf>
    <xf numFmtId="0" fontId="28" fillId="4" borderId="9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17" fillId="4" borderId="3" xfId="0" applyFont="1" applyFill="1" applyBorder="1" applyAlignment="1" applyProtection="1">
      <alignment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/>
    </xf>
    <xf numFmtId="0" fontId="26" fillId="8" borderId="6" xfId="0" applyFont="1" applyFill="1" applyBorder="1" applyAlignment="1" applyProtection="1">
      <alignment horizontal="left" vertical="center" wrapText="1"/>
      <protection locked="0"/>
    </xf>
    <xf numFmtId="0" fontId="33" fillId="7" borderId="0" xfId="0" applyFont="1" applyFill="1" applyBorder="1" applyAlignment="1">
      <alignment horizontal="left" vertical="center"/>
    </xf>
    <xf numFmtId="0" fontId="33" fillId="7" borderId="3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26" fillId="8" borderId="6" xfId="0" applyFont="1" applyFill="1" applyBorder="1" applyAlignment="1" applyProtection="1">
      <alignment horizontal="center"/>
      <protection locked="0"/>
    </xf>
    <xf numFmtId="0" fontId="24" fillId="4" borderId="9" xfId="0" applyFont="1" applyFill="1" applyBorder="1" applyAlignment="1" applyProtection="1">
      <alignment horizontal="right" vertical="top"/>
    </xf>
    <xf numFmtId="0" fontId="24" fillId="4" borderId="0" xfId="0" applyFont="1" applyFill="1" applyBorder="1" applyAlignment="1" applyProtection="1">
      <alignment horizontal="right" vertical="top"/>
    </xf>
    <xf numFmtId="0" fontId="32" fillId="4" borderId="0" xfId="0" applyFont="1" applyFill="1" applyBorder="1" applyAlignment="1" applyProtection="1">
      <alignment horizontal="left"/>
    </xf>
    <xf numFmtId="0" fontId="28" fillId="4" borderId="9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18" fillId="4" borderId="9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4" fontId="31" fillId="4" borderId="8" xfId="0" applyNumberFormat="1" applyFont="1" applyFill="1" applyBorder="1" applyAlignment="1" applyProtection="1">
      <alignment horizontal="center" vertical="center"/>
    </xf>
    <xf numFmtId="4" fontId="31" fillId="4" borderId="2" xfId="0" applyNumberFormat="1" applyFont="1" applyFill="1" applyBorder="1" applyAlignment="1" applyProtection="1">
      <alignment horizontal="center" vertical="center"/>
    </xf>
    <xf numFmtId="4" fontId="31" fillId="4" borderId="7" xfId="0" applyNumberFormat="1" applyFont="1" applyFill="1" applyBorder="1" applyAlignment="1" applyProtection="1">
      <alignment horizontal="center" vertical="center"/>
    </xf>
    <xf numFmtId="4" fontId="31" fillId="4" borderId="5" xfId="0" applyNumberFormat="1" applyFont="1" applyFill="1" applyBorder="1" applyAlignment="1" applyProtection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</cellXfs>
  <cellStyles count="6">
    <cellStyle name="Good" xfId="3" builtinId="26"/>
    <cellStyle name="Hyperlink" xfId="5" builtinId="8"/>
    <cellStyle name="Normal" xfId="0" builtinId="0"/>
    <cellStyle name="Normal 2" xfId="4" xr:uid="{302FC196-8B34-4E97-9B21-43DA4F4DAD2B}"/>
    <cellStyle name="Percent" xfId="2" builtinId="5"/>
    <cellStyle name="Percent 2" xfId="1" xr:uid="{00000000-0005-0000-0000-000001000000}"/>
  </cellStyles>
  <dxfs count="8">
    <dxf>
      <font>
        <color theme="0"/>
      </font>
      <fill>
        <patternFill>
          <bgColor rgb="FFE6443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E6443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E64438"/>
      <color rgb="FFE0E0E0"/>
      <color rgb="FF00FF00"/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79375</xdr:rowOff>
    </xdr:from>
    <xdr:to>
      <xdr:col>0</xdr:col>
      <xdr:colOff>2682998</xdr:colOff>
      <xdr:row>5</xdr:row>
      <xdr:rowOff>74818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298A8-4285-439D-8242-155A61AE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79375"/>
          <a:ext cx="2238498" cy="1233693"/>
        </a:xfrm>
        <a:prstGeom prst="rect">
          <a:avLst/>
        </a:prstGeom>
      </xdr:spPr>
    </xdr:pic>
    <xdr:clientData/>
  </xdr:twoCellAnchor>
  <xdr:twoCellAnchor editAs="absolute">
    <xdr:from>
      <xdr:col>16</xdr:col>
      <xdr:colOff>147410</xdr:colOff>
      <xdr:row>2</xdr:row>
      <xdr:rowOff>0</xdr:rowOff>
    </xdr:from>
    <xdr:to>
      <xdr:col>36</xdr:col>
      <xdr:colOff>385535</xdr:colOff>
      <xdr:row>19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33E763-6619-45EF-B0E6-8DC92BDE41E6}"/>
            </a:ext>
          </a:extLst>
        </xdr:cNvPr>
        <xdr:cNvSpPr txBox="1"/>
      </xdr:nvSpPr>
      <xdr:spPr>
        <a:xfrm>
          <a:off x="14747875" y="317500"/>
          <a:ext cx="4476750" cy="557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latin typeface="Arial" panose="020B0604020202020204" pitchFamily="34" charset="0"/>
              <a:cs typeface="Arial" panose="020B0604020202020204" pitchFamily="34" charset="0"/>
            </a:rPr>
            <a:t>Version 0.1 – 19/04/2023</a:t>
          </a:r>
          <a:endParaRPr lang="en-GB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tool is for the exclusive use of PBS or for agents working on behalf of PBS and may be used for the purposes defined on the Intermediaries website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www.progressiveforintermediaries.com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should not be modified or changed in any way and no attempt should be made to remove the protection on the file.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This must not be forwarded or shared with any persons other than the mortgage applicant without prior approval of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this tool does not behave as expected please stop using it and report this to PBS.</a:t>
          </a:r>
        </a:p>
        <a:p>
          <a:endParaRPr lang="en-GB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>
              <a:latin typeface="Arial" panose="020B0604020202020204" pitchFamily="34" charset="0"/>
              <a:cs typeface="Arial" panose="020B0604020202020204" pitchFamily="34" charset="0"/>
            </a:rPr>
            <a:t>- If you have received a copy of this file in error please delete it immediately.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uidance/rates-and-thresholds-for-employers-2023-to-2024" TargetMode="External"/><Relationship Id="rId1" Type="http://schemas.openxmlformats.org/officeDocument/2006/relationships/hyperlink" Target="https://www.gov.uk/national-insurance/how-much-you-p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zoomScale="90" zoomScaleNormal="90" workbookViewId="0">
      <selection sqref="A1:E1"/>
    </sheetView>
  </sheetViews>
  <sheetFormatPr defaultRowHeight="12.75" x14ac:dyDescent="0.2"/>
  <cols>
    <col min="2" max="2" width="27.140625" bestFit="1" customWidth="1"/>
    <col min="3" max="3" width="15.5703125" bestFit="1" customWidth="1"/>
    <col min="4" max="4" width="15.42578125" bestFit="1" customWidth="1"/>
    <col min="5" max="5" width="10.85546875" bestFit="1" customWidth="1"/>
    <col min="7" max="7" width="23" bestFit="1" customWidth="1"/>
    <col min="8" max="8" width="11" customWidth="1"/>
    <col min="10" max="10" width="10.85546875" bestFit="1" customWidth="1"/>
    <col min="12" max="12" width="23" bestFit="1" customWidth="1"/>
    <col min="13" max="13" width="10.5703125" bestFit="1" customWidth="1"/>
  </cols>
  <sheetData>
    <row r="1" spans="1:15" x14ac:dyDescent="0.2">
      <c r="A1" s="177" t="s">
        <v>63</v>
      </c>
      <c r="B1" s="177"/>
      <c r="C1" s="177"/>
      <c r="D1" s="177"/>
      <c r="E1" s="177"/>
    </row>
    <row r="2" spans="1:15" x14ac:dyDescent="0.2">
      <c r="A2" s="8" t="s">
        <v>64</v>
      </c>
      <c r="B2" s="8"/>
      <c r="C2" s="8"/>
      <c r="D2" s="8"/>
      <c r="E2" s="8"/>
      <c r="F2" s="8"/>
      <c r="G2" s="8"/>
      <c r="H2" s="8"/>
    </row>
    <row r="3" spans="1:15" ht="18.75" x14ac:dyDescent="0.25">
      <c r="A3" s="9" t="s">
        <v>65</v>
      </c>
      <c r="B3" s="8"/>
      <c r="C3" s="8"/>
      <c r="D3" s="8"/>
      <c r="E3" s="8"/>
      <c r="F3" s="8"/>
      <c r="G3" s="8"/>
      <c r="H3" s="8"/>
    </row>
    <row r="4" spans="1:15" x14ac:dyDescent="0.2">
      <c r="A4" s="8"/>
      <c r="B4" s="8"/>
      <c r="C4" s="8"/>
      <c r="D4" s="8"/>
      <c r="E4" s="8"/>
      <c r="F4" s="8"/>
      <c r="G4" s="8"/>
      <c r="H4" s="8"/>
    </row>
    <row r="5" spans="1:15" x14ac:dyDescent="0.2">
      <c r="A5" s="178" t="s">
        <v>66</v>
      </c>
      <c r="B5" s="178"/>
      <c r="C5" s="178"/>
      <c r="D5" s="178"/>
      <c r="E5" s="178"/>
      <c r="F5" s="178"/>
      <c r="G5" s="178"/>
      <c r="H5" s="178"/>
    </row>
    <row r="7" spans="1:15" x14ac:dyDescent="0.2">
      <c r="B7" s="177" t="s">
        <v>86</v>
      </c>
      <c r="C7" s="177"/>
      <c r="D7" s="177"/>
      <c r="E7" s="177"/>
      <c r="G7" s="177" t="s">
        <v>87</v>
      </c>
      <c r="H7" s="177"/>
      <c r="I7" s="177"/>
      <c r="J7" s="177"/>
      <c r="L7" s="177" t="s">
        <v>88</v>
      </c>
      <c r="M7" s="177"/>
      <c r="N7" s="177"/>
      <c r="O7" s="177"/>
    </row>
    <row r="8" spans="1:15" ht="13.5" thickBot="1" x14ac:dyDescent="0.25"/>
    <row r="9" spans="1:15" x14ac:dyDescent="0.2">
      <c r="B9" s="10" t="s">
        <v>67</v>
      </c>
      <c r="C9" s="11" t="s">
        <v>68</v>
      </c>
      <c r="D9" s="11"/>
      <c r="E9" s="12"/>
      <c r="F9" s="8"/>
      <c r="G9" s="10" t="s">
        <v>67</v>
      </c>
      <c r="H9" s="11" t="s">
        <v>68</v>
      </c>
      <c r="I9" s="11"/>
      <c r="J9" s="12"/>
      <c r="L9" s="10" t="s">
        <v>67</v>
      </c>
      <c r="M9" s="11" t="s">
        <v>68</v>
      </c>
      <c r="N9" s="11"/>
      <c r="O9" s="12"/>
    </row>
    <row r="10" spans="1:15" x14ac:dyDescent="0.2">
      <c r="B10" s="13"/>
      <c r="C10" s="14"/>
      <c r="D10" s="14"/>
      <c r="E10" s="15"/>
      <c r="F10" s="8"/>
      <c r="G10" s="13"/>
      <c r="H10" s="14"/>
      <c r="I10" s="14"/>
      <c r="J10" s="15"/>
      <c r="L10" s="13"/>
      <c r="M10" s="14"/>
      <c r="N10" s="14"/>
      <c r="O10" s="15"/>
    </row>
    <row r="11" spans="1:15" x14ac:dyDescent="0.2">
      <c r="B11" s="13" t="s">
        <v>69</v>
      </c>
      <c r="C11" s="16">
        <f>Affordability!C79</f>
        <v>0</v>
      </c>
      <c r="D11" s="14"/>
      <c r="E11" s="15"/>
      <c r="F11" s="8"/>
      <c r="G11" s="13" t="s">
        <v>69</v>
      </c>
      <c r="H11" s="16">
        <f>C11</f>
        <v>0</v>
      </c>
      <c r="I11" s="14"/>
      <c r="J11" s="15"/>
      <c r="L11" s="13" t="s">
        <v>69</v>
      </c>
      <c r="M11" s="16">
        <f>H11</f>
        <v>0</v>
      </c>
      <c r="N11" s="14"/>
      <c r="O11" s="15"/>
    </row>
    <row r="12" spans="1:15" x14ac:dyDescent="0.2">
      <c r="B12" s="13"/>
      <c r="C12" s="14"/>
      <c r="D12" s="14"/>
      <c r="E12" s="15"/>
      <c r="F12" s="8"/>
      <c r="G12" s="13"/>
      <c r="H12" s="14"/>
      <c r="I12" s="14"/>
      <c r="J12" s="15"/>
      <c r="L12" s="13"/>
      <c r="M12" s="14"/>
      <c r="N12" s="14"/>
      <c r="O12" s="15"/>
    </row>
    <row r="13" spans="1:15" x14ac:dyDescent="0.2">
      <c r="B13" s="13" t="s">
        <v>70</v>
      </c>
      <c r="C13" s="17">
        <f>Affordability!H79</f>
        <v>0</v>
      </c>
      <c r="D13" s="14" t="s">
        <v>71</v>
      </c>
      <c r="E13" s="15">
        <f>C13/12</f>
        <v>0</v>
      </c>
      <c r="F13" s="8"/>
      <c r="G13" s="13" t="s">
        <v>70</v>
      </c>
      <c r="H13" s="81">
        <v>8.2400000000000001E-2</v>
      </c>
      <c r="I13" s="14" t="s">
        <v>71</v>
      </c>
      <c r="J13" s="15">
        <f>H13/12</f>
        <v>6.8666666666666668E-3</v>
      </c>
      <c r="L13" s="13" t="s">
        <v>70</v>
      </c>
      <c r="M13" s="17">
        <f>IF(OR(ISNUMBER(SEARCH("5 Year Fix",Affordability!B14)),Affordability!B12=Affordability!AB9),(Calculator!H13+0.01),(Calculator!H13+0.01))+IF(Affordability!B15="Yes",0.01,0)</f>
        <v>9.2399999999999996E-2</v>
      </c>
      <c r="N13" s="14" t="s">
        <v>71</v>
      </c>
      <c r="O13" s="15">
        <f>M13/12</f>
        <v>7.6999999999999994E-3</v>
      </c>
    </row>
    <row r="14" spans="1:15" x14ac:dyDescent="0.2">
      <c r="B14" s="13"/>
      <c r="C14" s="14"/>
      <c r="D14" s="14"/>
      <c r="E14" s="15"/>
      <c r="F14" s="8"/>
      <c r="G14" s="13"/>
      <c r="H14" s="14"/>
      <c r="I14" s="14"/>
      <c r="J14" s="15"/>
      <c r="L14" s="13"/>
      <c r="M14" s="82"/>
      <c r="N14" s="14"/>
      <c r="O14" s="15"/>
    </row>
    <row r="15" spans="1:15" x14ac:dyDescent="0.2">
      <c r="B15" s="13" t="s">
        <v>72</v>
      </c>
      <c r="C15" s="16">
        <f>Affordability!F79</f>
        <v>0</v>
      </c>
      <c r="D15" s="14" t="s">
        <v>73</v>
      </c>
      <c r="E15" s="15">
        <f>C15*12+Affordability!G79</f>
        <v>0</v>
      </c>
      <c r="F15" s="8"/>
      <c r="G15" s="13" t="s">
        <v>72</v>
      </c>
      <c r="H15" s="16">
        <f>C15</f>
        <v>0</v>
      </c>
      <c r="I15" s="14" t="s">
        <v>73</v>
      </c>
      <c r="J15" s="15">
        <f>H15*12+Affordability!G79</f>
        <v>0</v>
      </c>
      <c r="L15" s="13" t="s">
        <v>72</v>
      </c>
      <c r="M15" s="16">
        <f>H15</f>
        <v>0</v>
      </c>
      <c r="N15" s="14" t="s">
        <v>73</v>
      </c>
      <c r="O15" s="15">
        <f>M15*12+Affordability!G79</f>
        <v>0</v>
      </c>
    </row>
    <row r="16" spans="1:15" x14ac:dyDescent="0.2">
      <c r="B16" s="13"/>
      <c r="C16" s="14"/>
      <c r="D16" s="14"/>
      <c r="E16" s="15"/>
      <c r="F16" s="8"/>
      <c r="G16" s="13"/>
      <c r="H16" s="14"/>
      <c r="I16" s="14"/>
      <c r="J16" s="15"/>
      <c r="L16" s="13"/>
      <c r="M16" s="14"/>
      <c r="N16" s="14"/>
      <c r="O16" s="15"/>
    </row>
    <row r="17" spans="2:15" ht="13.5" thickBot="1" x14ac:dyDescent="0.25">
      <c r="B17" s="18" t="s">
        <v>74</v>
      </c>
      <c r="C17" s="19"/>
      <c r="D17" s="19" t="s">
        <v>75</v>
      </c>
      <c r="E17" s="20" t="e">
        <f>C29</f>
        <v>#DIV/0!</v>
      </c>
      <c r="F17" s="8"/>
      <c r="G17" s="18" t="s">
        <v>74</v>
      </c>
      <c r="H17" s="19"/>
      <c r="I17" s="19" t="s">
        <v>75</v>
      </c>
      <c r="J17" s="20" t="e">
        <f>H29</f>
        <v>#DIV/0!</v>
      </c>
      <c r="L17" s="18" t="s">
        <v>74</v>
      </c>
      <c r="M17" s="19"/>
      <c r="N17" s="19" t="s">
        <v>75</v>
      </c>
      <c r="O17" s="20" t="e">
        <f>M29</f>
        <v>#DIV/0!</v>
      </c>
    </row>
    <row r="18" spans="2:15" x14ac:dyDescent="0.2">
      <c r="B18" s="8"/>
      <c r="C18" s="8"/>
      <c r="D18" s="8"/>
      <c r="E18" s="8"/>
      <c r="F18" s="8"/>
      <c r="G18" s="8"/>
      <c r="H18" s="8"/>
      <c r="I18" s="8"/>
      <c r="J18" s="8"/>
      <c r="L18" s="8"/>
      <c r="M18" s="8"/>
      <c r="N18" s="8"/>
      <c r="O18" s="8"/>
    </row>
    <row r="19" spans="2:15" x14ac:dyDescent="0.2">
      <c r="B19" s="8"/>
      <c r="C19" s="8"/>
      <c r="D19" s="8"/>
      <c r="E19" s="8"/>
      <c r="F19" s="8"/>
      <c r="G19" s="8"/>
      <c r="H19" s="8"/>
      <c r="I19" s="8"/>
      <c r="J19" s="8"/>
      <c r="L19" s="8"/>
      <c r="M19" s="8"/>
      <c r="N19" s="8"/>
      <c r="O19" s="8"/>
    </row>
    <row r="20" spans="2:15" x14ac:dyDescent="0.2">
      <c r="B20" s="8"/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</row>
    <row r="21" spans="2:15" x14ac:dyDescent="0.2">
      <c r="B21" s="8" t="s">
        <v>76</v>
      </c>
      <c r="C21" s="8">
        <f>1+E13</f>
        <v>1</v>
      </c>
      <c r="D21" s="8"/>
      <c r="E21" s="8"/>
      <c r="F21" s="8"/>
      <c r="G21" s="8" t="s">
        <v>76</v>
      </c>
      <c r="H21" s="8">
        <f>1+J13</f>
        <v>1.0068666666666666</v>
      </c>
      <c r="I21" s="8"/>
      <c r="J21" s="8"/>
      <c r="L21" s="8" t="s">
        <v>76</v>
      </c>
      <c r="M21" s="8">
        <f>1+O13</f>
        <v>1.0077</v>
      </c>
      <c r="N21" s="8"/>
      <c r="O21" s="8"/>
    </row>
    <row r="22" spans="2:15" x14ac:dyDescent="0.2">
      <c r="B22" s="8"/>
      <c r="C22" s="8"/>
      <c r="D22" s="8"/>
      <c r="E22" s="8"/>
      <c r="F22" s="8"/>
      <c r="G22" s="8"/>
      <c r="H22" s="8"/>
      <c r="I22" s="8"/>
      <c r="J22" s="8"/>
      <c r="L22" s="8"/>
      <c r="M22" s="8"/>
      <c r="N22" s="8"/>
      <c r="O22" s="8"/>
    </row>
    <row r="23" spans="2:15" x14ac:dyDescent="0.2">
      <c r="B23" s="8" t="s">
        <v>77</v>
      </c>
      <c r="C23" s="8">
        <f>C21^-E15</f>
        <v>1</v>
      </c>
      <c r="D23" s="8"/>
      <c r="E23" s="8"/>
      <c r="F23" s="8"/>
      <c r="G23" s="8" t="s">
        <v>77</v>
      </c>
      <c r="H23" s="8">
        <f>H21^-J15</f>
        <v>1</v>
      </c>
      <c r="I23" s="8"/>
      <c r="J23" s="8"/>
      <c r="L23" s="8" t="s">
        <v>77</v>
      </c>
      <c r="M23" s="8">
        <f>M21^-O15</f>
        <v>1</v>
      </c>
      <c r="N23" s="8"/>
      <c r="O23" s="8"/>
    </row>
    <row r="24" spans="2:15" x14ac:dyDescent="0.2">
      <c r="B24" s="8"/>
      <c r="C24" s="8"/>
      <c r="D24" s="8"/>
      <c r="E24" s="8"/>
      <c r="F24" s="8"/>
      <c r="G24" s="8"/>
      <c r="H24" s="8"/>
      <c r="I24" s="8"/>
      <c r="J24" s="8"/>
      <c r="L24" s="8"/>
      <c r="M24" s="8"/>
      <c r="N24" s="8"/>
      <c r="O24" s="8"/>
    </row>
    <row r="25" spans="2:15" x14ac:dyDescent="0.2">
      <c r="B25" s="8" t="s">
        <v>78</v>
      </c>
      <c r="C25" s="8">
        <f>1-C23</f>
        <v>0</v>
      </c>
      <c r="D25" s="8"/>
      <c r="E25" s="8"/>
      <c r="F25" s="8"/>
      <c r="G25" s="8" t="s">
        <v>78</v>
      </c>
      <c r="H25" s="8">
        <f>1-H23</f>
        <v>0</v>
      </c>
      <c r="I25" s="8"/>
      <c r="J25" s="8"/>
      <c r="L25" s="8" t="s">
        <v>78</v>
      </c>
      <c r="M25" s="8">
        <f>1-M23</f>
        <v>0</v>
      </c>
      <c r="N25" s="8"/>
      <c r="O25" s="8"/>
    </row>
    <row r="26" spans="2:15" x14ac:dyDescent="0.2">
      <c r="B26" s="8"/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8"/>
    </row>
    <row r="27" spans="2:15" x14ac:dyDescent="0.2">
      <c r="B27" s="8" t="s">
        <v>79</v>
      </c>
      <c r="C27" s="8">
        <f>C11*E13</f>
        <v>0</v>
      </c>
      <c r="D27" s="8"/>
      <c r="E27" s="8"/>
      <c r="F27" s="8"/>
      <c r="G27" s="8" t="s">
        <v>79</v>
      </c>
      <c r="H27" s="8">
        <f>H11*J13</f>
        <v>0</v>
      </c>
      <c r="I27" s="8"/>
      <c r="J27" s="8"/>
      <c r="L27" s="8" t="s">
        <v>79</v>
      </c>
      <c r="M27" s="8">
        <f>M11*O13</f>
        <v>0</v>
      </c>
      <c r="N27" s="8"/>
      <c r="O27" s="8"/>
    </row>
    <row r="28" spans="2:15" x14ac:dyDescent="0.2">
      <c r="B28" s="8"/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8"/>
    </row>
    <row r="29" spans="2:15" ht="15.75" x14ac:dyDescent="0.2">
      <c r="B29" s="8" t="s">
        <v>80</v>
      </c>
      <c r="C29" s="21" t="e">
        <f>C27/C25</f>
        <v>#DIV/0!</v>
      </c>
      <c r="D29" s="8"/>
      <c r="E29" s="8"/>
      <c r="F29" s="8"/>
      <c r="G29" s="8" t="s">
        <v>80</v>
      </c>
      <c r="H29" s="21" t="e">
        <f>H27/H25</f>
        <v>#DIV/0!</v>
      </c>
      <c r="I29" s="8"/>
      <c r="J29" s="8"/>
      <c r="L29" s="8" t="s">
        <v>80</v>
      </c>
      <c r="M29" s="21" t="e">
        <f>M27/M25</f>
        <v>#DIV/0!</v>
      </c>
      <c r="N29" s="8"/>
      <c r="O29" s="8"/>
    </row>
    <row r="30" spans="2:15" x14ac:dyDescent="0.2">
      <c r="B30" s="8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</row>
    <row r="31" spans="2:15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</row>
    <row r="32" spans="2:15" hidden="1" x14ac:dyDescent="0.2">
      <c r="B32" s="8" t="s">
        <v>81</v>
      </c>
      <c r="C32" s="22">
        <v>570.12</v>
      </c>
      <c r="D32" s="8"/>
      <c r="E32" s="8"/>
      <c r="F32" s="8"/>
      <c r="G32" s="8" t="s">
        <v>81</v>
      </c>
      <c r="H32" s="22">
        <v>570.12</v>
      </c>
      <c r="I32" s="8"/>
      <c r="J32" s="8"/>
      <c r="L32" s="8" t="s">
        <v>81</v>
      </c>
      <c r="M32" s="22">
        <v>570.12</v>
      </c>
      <c r="N32" s="8"/>
      <c r="O32" s="8"/>
    </row>
    <row r="33" spans="2:15" hidden="1" x14ac:dyDescent="0.2"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8"/>
    </row>
    <row r="34" spans="2:15" hidden="1" x14ac:dyDescent="0.2">
      <c r="B34" s="8" t="s">
        <v>82</v>
      </c>
      <c r="C34" s="23" t="e">
        <f>C29-C32</f>
        <v>#DIV/0!</v>
      </c>
      <c r="D34" s="8"/>
      <c r="E34" s="8"/>
      <c r="F34" s="8"/>
      <c r="G34" s="8" t="s">
        <v>82</v>
      </c>
      <c r="H34" s="23" t="e">
        <f>H29-H32</f>
        <v>#DIV/0!</v>
      </c>
      <c r="I34" s="8"/>
      <c r="J34" s="8"/>
      <c r="L34" s="8" t="s">
        <v>82</v>
      </c>
      <c r="M34" s="23" t="e">
        <f>M29-M32</f>
        <v>#DIV/0!</v>
      </c>
      <c r="N34" s="8"/>
      <c r="O34" s="8"/>
    </row>
    <row r="35" spans="2:15" hidden="1" x14ac:dyDescent="0.2">
      <c r="B35" s="8"/>
      <c r="C35" s="8"/>
      <c r="D35" s="8"/>
      <c r="E35" s="8"/>
      <c r="F35" s="8"/>
      <c r="G35" s="8"/>
      <c r="H35" s="8"/>
      <c r="I35" s="8"/>
      <c r="J35" s="8"/>
      <c r="L35" s="8"/>
      <c r="M35" s="8"/>
      <c r="N35" s="8"/>
      <c r="O35" s="8"/>
    </row>
    <row r="36" spans="2:15" hidden="1" x14ac:dyDescent="0.2">
      <c r="B36" s="8"/>
      <c r="C36" s="8"/>
      <c r="D36" s="8"/>
      <c r="E36" s="8"/>
      <c r="F36" s="8"/>
      <c r="G36" s="8"/>
      <c r="H36" s="8"/>
      <c r="I36" s="8"/>
      <c r="J36" s="8"/>
      <c r="L36" s="8"/>
      <c r="M36" s="8"/>
      <c r="N36" s="8"/>
      <c r="O36" s="8"/>
    </row>
    <row r="38" spans="2:15" x14ac:dyDescent="0.2">
      <c r="B38" s="24" t="s">
        <v>83</v>
      </c>
      <c r="G38" s="24" t="s">
        <v>83</v>
      </c>
      <c r="L38" s="24" t="s">
        <v>83</v>
      </c>
    </row>
    <row r="39" spans="2:15" x14ac:dyDescent="0.2">
      <c r="B39" s="25" t="s">
        <v>84</v>
      </c>
      <c r="G39" s="25" t="s">
        <v>84</v>
      </c>
      <c r="L39" s="25" t="s">
        <v>84</v>
      </c>
    </row>
    <row r="40" spans="2:15" x14ac:dyDescent="0.2">
      <c r="B40" s="26" t="s">
        <v>85</v>
      </c>
      <c r="G40" s="26" t="s">
        <v>85</v>
      </c>
      <c r="L40" s="26" t="s">
        <v>85</v>
      </c>
    </row>
  </sheetData>
  <mergeCells count="5">
    <mergeCell ref="L7:O7"/>
    <mergeCell ref="A1:E1"/>
    <mergeCell ref="A5:H5"/>
    <mergeCell ref="B7:E7"/>
    <mergeCell ref="G7:J7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120"/>
  <sheetViews>
    <sheetView tabSelected="1" zoomScale="70" zoomScaleNormal="70" zoomScaleSheetLayoutView="85" zoomScalePageLayoutView="40" workbookViewId="0">
      <selection activeCell="B9" sqref="B9"/>
    </sheetView>
  </sheetViews>
  <sheetFormatPr defaultColWidth="9.140625" defaultRowHeight="12.75" x14ac:dyDescent="0.2"/>
  <cols>
    <col min="1" max="1" width="46.28515625" style="34" customWidth="1"/>
    <col min="2" max="2" width="36.7109375" style="34" customWidth="1"/>
    <col min="3" max="3" width="31" style="34" customWidth="1"/>
    <col min="4" max="5" width="17.85546875" style="34" hidden="1" customWidth="1"/>
    <col min="6" max="7" width="16.85546875" style="34" bestFit="1" customWidth="1"/>
    <col min="8" max="8" width="11.7109375" style="34" customWidth="1"/>
    <col min="9" max="9" width="4" style="34" customWidth="1"/>
    <col min="10" max="10" width="16.85546875" style="34" bestFit="1" customWidth="1"/>
    <col min="11" max="11" width="4" style="34" customWidth="1"/>
    <col min="12" max="12" width="16.85546875" style="34" bestFit="1" customWidth="1"/>
    <col min="13" max="13" width="4" style="34" customWidth="1"/>
    <col min="14" max="14" width="11" style="34" hidden="1" customWidth="1"/>
    <col min="15" max="15" width="16.85546875" style="34" bestFit="1" customWidth="1"/>
    <col min="16" max="16" width="2.42578125" style="34" customWidth="1"/>
    <col min="17" max="17" width="9.85546875" style="34" bestFit="1" customWidth="1"/>
    <col min="18" max="18" width="0" style="34" hidden="1" customWidth="1"/>
    <col min="19" max="19" width="13.28515625" style="34" hidden="1" customWidth="1"/>
    <col min="20" max="20" width="0" style="34" hidden="1" customWidth="1"/>
    <col min="21" max="21" width="9.140625" style="34"/>
    <col min="22" max="23" width="9.140625" style="34" customWidth="1"/>
    <col min="24" max="24" width="60.140625" style="34" hidden="1" customWidth="1"/>
    <col min="25" max="25" width="83" style="34" hidden="1" customWidth="1"/>
    <col min="26" max="26" width="33" style="34" hidden="1" customWidth="1"/>
    <col min="27" max="27" width="26" style="34" hidden="1" customWidth="1"/>
    <col min="28" max="28" width="14.42578125" style="49" hidden="1" customWidth="1"/>
    <col min="29" max="29" width="41.140625" style="49" hidden="1" customWidth="1"/>
    <col min="30" max="30" width="27.42578125" style="34" hidden="1" customWidth="1"/>
    <col min="31" max="31" width="9.140625" style="34" hidden="1" customWidth="1"/>
    <col min="32" max="32" width="20.7109375" style="34" hidden="1" customWidth="1"/>
    <col min="33" max="33" width="14.7109375" style="34" hidden="1" customWidth="1"/>
    <col min="34" max="34" width="8.5703125" style="34" customWidth="1"/>
    <col min="35" max="35" width="9.140625" style="34" customWidth="1"/>
    <col min="36" max="16384" width="9.140625" style="34"/>
  </cols>
  <sheetData>
    <row r="1" spans="1:33" x14ac:dyDescent="0.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33" ht="12.75" customHeight="1" x14ac:dyDescent="0.2">
      <c r="A2" s="83"/>
      <c r="B2" s="182" t="s">
        <v>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1:33" ht="30" customHeight="1" x14ac:dyDescent="0.2">
      <c r="A3" s="83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3"/>
    </row>
    <row r="4" spans="1:33" ht="30" customHeight="1" x14ac:dyDescent="0.2">
      <c r="A4" s="83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3"/>
    </row>
    <row r="5" spans="1:33" x14ac:dyDescent="0.2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94"/>
    </row>
    <row r="6" spans="1:33" x14ac:dyDescent="0.2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33" s="31" customFormat="1" ht="23.25" x14ac:dyDescent="0.35">
      <c r="A7" s="98"/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X7" s="53" t="s">
        <v>117</v>
      </c>
      <c r="Y7" s="53" t="s">
        <v>120</v>
      </c>
      <c r="Z7" s="53" t="s">
        <v>118</v>
      </c>
      <c r="AA7" s="53" t="s">
        <v>119</v>
      </c>
      <c r="AB7" s="76" t="s">
        <v>134</v>
      </c>
      <c r="AC7" s="45"/>
    </row>
    <row r="8" spans="1:33" s="33" customFormat="1" ht="21" x14ac:dyDescent="0.3">
      <c r="A8" s="102"/>
      <c r="B8" s="64"/>
      <c r="C8" s="64"/>
      <c r="D8" s="32"/>
      <c r="E8" s="32"/>
      <c r="F8" s="32"/>
      <c r="G8" s="32"/>
      <c r="H8" s="32"/>
      <c r="I8" s="32"/>
      <c r="J8" s="184" t="s">
        <v>148</v>
      </c>
      <c r="K8" s="184"/>
      <c r="L8" s="184"/>
      <c r="M8" s="32"/>
      <c r="N8" s="32"/>
      <c r="O8" s="103"/>
      <c r="X8" s="57" t="s">
        <v>113</v>
      </c>
      <c r="Y8" s="58" t="s">
        <v>112</v>
      </c>
      <c r="Z8" s="59" t="s">
        <v>114</v>
      </c>
      <c r="AA8" s="59" t="s">
        <v>115</v>
      </c>
      <c r="AB8" s="77" t="s">
        <v>135</v>
      </c>
      <c r="AC8" s="48"/>
      <c r="AG8"/>
    </row>
    <row r="9" spans="1:33" s="33" customFormat="1" ht="20.25" x14ac:dyDescent="0.3">
      <c r="A9" s="104" t="s">
        <v>16</v>
      </c>
      <c r="B9" s="85"/>
      <c r="C9" s="85"/>
      <c r="D9" s="32"/>
      <c r="E9" s="32"/>
      <c r="F9" s="32"/>
      <c r="G9" s="32"/>
      <c r="H9" s="32"/>
      <c r="I9" s="32"/>
      <c r="J9" s="184"/>
      <c r="K9" s="184"/>
      <c r="L9" s="184"/>
      <c r="M9" s="32"/>
      <c r="N9" s="32"/>
      <c r="O9" s="103"/>
      <c r="X9" s="60"/>
      <c r="Y9" t="s">
        <v>122</v>
      </c>
      <c r="Z9" s="63"/>
      <c r="AA9" s="75">
        <v>4.5900000000000003E-2</v>
      </c>
      <c r="AB9" s="77" t="s">
        <v>136</v>
      </c>
      <c r="AC9" s="46"/>
      <c r="AD9" s="46"/>
      <c r="AG9"/>
    </row>
    <row r="10" spans="1:33" s="33" customFormat="1" ht="20.25" x14ac:dyDescent="0.3">
      <c r="A10" s="104" t="s">
        <v>121</v>
      </c>
      <c r="B10" s="85"/>
      <c r="C10" s="85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03"/>
      <c r="X10" s="60"/>
      <c r="Y10" t="s">
        <v>123</v>
      </c>
      <c r="Z10" s="63"/>
      <c r="AA10" s="75">
        <v>4.6899999999999997E-2</v>
      </c>
      <c r="AB10" s="77" t="s">
        <v>112</v>
      </c>
      <c r="AC10" s="46"/>
      <c r="AD10" s="46"/>
      <c r="AG10"/>
    </row>
    <row r="11" spans="1:33" s="33" customFormat="1" ht="50.25" customHeight="1" x14ac:dyDescent="0.25">
      <c r="A11" s="105" t="s">
        <v>144</v>
      </c>
      <c r="B11" s="179"/>
      <c r="C11" s="17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03"/>
      <c r="X11" s="60"/>
      <c r="Y11" s="28" t="s">
        <v>124</v>
      </c>
      <c r="Z11" s="63"/>
      <c r="AA11" s="75">
        <v>4.7899999999999998E-2</v>
      </c>
      <c r="AB11" s="77"/>
      <c r="AC11" s="46"/>
      <c r="AD11" s="46"/>
      <c r="AG11"/>
    </row>
    <row r="12" spans="1:33" s="33" customFormat="1" ht="44.25" customHeight="1" x14ac:dyDescent="0.3">
      <c r="A12" s="104" t="s">
        <v>137</v>
      </c>
      <c r="B12" s="181"/>
      <c r="C12" s="18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03"/>
      <c r="X12" s="60"/>
      <c r="Y12" t="s">
        <v>154</v>
      </c>
      <c r="Z12" s="63"/>
      <c r="AA12" s="75">
        <v>4.8000000000000001E-2</v>
      </c>
      <c r="AB12" s="77"/>
      <c r="AC12" s="46"/>
      <c r="AD12" s="46"/>
      <c r="AG12"/>
    </row>
    <row r="13" spans="1:33" s="33" customFormat="1" ht="20.25" hidden="1" x14ac:dyDescent="0.3">
      <c r="A13" s="104" t="s">
        <v>116</v>
      </c>
      <c r="B13" s="198" t="s">
        <v>112</v>
      </c>
      <c r="C13" s="198"/>
      <c r="D13" s="32" t="str">
        <f>IF(B13=X8,Z8,AA8)</f>
        <v>NoRates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03"/>
      <c r="X13" s="61"/>
      <c r="Y13" t="s">
        <v>125</v>
      </c>
      <c r="Z13" s="63"/>
      <c r="AA13" s="75">
        <v>4.8899999999999999E-2</v>
      </c>
      <c r="AB13" s="48"/>
      <c r="AC13" s="46"/>
      <c r="AD13" s="46"/>
      <c r="AG13"/>
    </row>
    <row r="14" spans="1:33" s="33" customFormat="1" ht="41.25" customHeight="1" x14ac:dyDescent="0.3">
      <c r="A14" s="104" t="s">
        <v>111</v>
      </c>
      <c r="B14" s="181"/>
      <c r="C14" s="18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103"/>
      <c r="X14" s="60"/>
      <c r="Y14" t="s">
        <v>126</v>
      </c>
      <c r="Z14" s="63"/>
      <c r="AA14" s="75">
        <v>4.9500000000000002E-2</v>
      </c>
      <c r="AB14" s="48"/>
      <c r="AC14" s="46"/>
      <c r="AD14" s="46"/>
      <c r="AG14"/>
    </row>
    <row r="15" spans="1:33" s="33" customFormat="1" ht="41.25" customHeight="1" x14ac:dyDescent="0.3">
      <c r="A15" s="104" t="s">
        <v>143</v>
      </c>
      <c r="B15" s="179"/>
      <c r="C15" s="179"/>
      <c r="D15" s="32" t="str">
        <f>IF(AND(B11="No",B15="No"),1,IF(AND(B11="No",B15="Yes"),2,IF(AND(B11="Yes",B15="No"),3,IF(AND(B11="Yes",B15="Yes"),4,""))))</f>
        <v/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3"/>
      <c r="X15" s="60"/>
      <c r="Y15" t="s">
        <v>157</v>
      </c>
      <c r="Z15" s="63"/>
      <c r="AA15" s="75">
        <v>4.99E-2</v>
      </c>
      <c r="AB15" s="48"/>
      <c r="AC15" s="46"/>
      <c r="AD15" s="46"/>
      <c r="AG15"/>
    </row>
    <row r="16" spans="1:33" s="33" customFormat="1" ht="29.25" customHeight="1" x14ac:dyDescent="0.3">
      <c r="A16" s="104"/>
      <c r="B16" s="90" t="str">
        <f>IF(OR(ISBLANK(B11),ISBLANK(B12),ISBLANK(B14),ISBLANK(B15)),"All questions above must be completed before continuing!","")</f>
        <v>All questions above must be completed before continuing!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03"/>
      <c r="X16" s="60"/>
      <c r="Y16" t="s">
        <v>132</v>
      </c>
      <c r="Z16" s="63"/>
      <c r="AA16" s="75">
        <v>0.05</v>
      </c>
      <c r="AB16" s="48"/>
      <c r="AC16" s="46"/>
      <c r="AD16" s="46"/>
      <c r="AG16"/>
    </row>
    <row r="17" spans="1:33" ht="21" x14ac:dyDescent="0.25">
      <c r="A17" s="174" t="s">
        <v>167</v>
      </c>
      <c r="B17" s="175"/>
      <c r="C17" s="17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7"/>
      <c r="X17" s="60"/>
      <c r="Y17" t="s">
        <v>133</v>
      </c>
      <c r="Z17" s="63"/>
      <c r="AA17" s="75">
        <v>5.0200000000000002E-2</v>
      </c>
      <c r="AB17" s="48"/>
      <c r="AC17" s="46"/>
      <c r="AD17" s="46"/>
      <c r="AG17"/>
    </row>
    <row r="18" spans="1:33" ht="21" x14ac:dyDescent="0.25">
      <c r="A18" s="202" t="s">
        <v>168</v>
      </c>
      <c r="B18" s="203"/>
      <c r="C18" s="20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/>
      <c r="X18" s="60"/>
      <c r="Y18"/>
      <c r="Z18" s="63"/>
      <c r="AA18" s="75"/>
      <c r="AB18" s="48"/>
      <c r="AC18" s="46"/>
      <c r="AD18" s="46"/>
      <c r="AG18"/>
    </row>
    <row r="19" spans="1:33" s="35" customFormat="1" ht="21" x14ac:dyDescent="0.25">
      <c r="A19" s="202" t="s">
        <v>169</v>
      </c>
      <c r="B19" s="203"/>
      <c r="C19" s="203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X19" s="55"/>
      <c r="Y19" t="s">
        <v>127</v>
      </c>
      <c r="Z19" s="63"/>
      <c r="AA19" s="75">
        <v>5.0500000000000003E-2</v>
      </c>
      <c r="AB19" s="48"/>
      <c r="AC19" s="46"/>
      <c r="AD19" s="46"/>
      <c r="AG19"/>
    </row>
    <row r="20" spans="1:33" ht="21" x14ac:dyDescent="0.25">
      <c r="A20" s="202" t="s">
        <v>170</v>
      </c>
      <c r="B20" s="203"/>
      <c r="C20" s="20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X20" s="55"/>
      <c r="Y20" t="s">
        <v>128</v>
      </c>
      <c r="Z20" s="63"/>
      <c r="AA20" s="75">
        <v>5.0900000000000001E-2</v>
      </c>
      <c r="AB20" s="48"/>
      <c r="AC20" s="46"/>
      <c r="AD20" s="46"/>
      <c r="AG20"/>
    </row>
    <row r="21" spans="1:33" ht="15.75" x14ac:dyDescent="0.25">
      <c r="A21" s="204" t="str">
        <f>IF(B13="Yes",("Professional Income Multiples = Single x 3.90   Joint x 3.90   Up to 95% LTV"),(""))</f>
        <v/>
      </c>
      <c r="B21" s="205"/>
      <c r="C21" s="2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X21" s="55"/>
      <c r="Y21" t="s">
        <v>158</v>
      </c>
      <c r="Z21" s="63"/>
      <c r="AA21" s="75">
        <v>5.0999999999999997E-2</v>
      </c>
      <c r="AB21" s="48"/>
      <c r="AC21" s="46"/>
      <c r="AD21" s="46"/>
      <c r="AG21"/>
    </row>
    <row r="22" spans="1:33" s="31" customFormat="1" ht="60.75" x14ac:dyDescent="0.3">
      <c r="A22" s="110" t="s">
        <v>1</v>
      </c>
      <c r="B22" s="65" t="s">
        <v>17</v>
      </c>
      <c r="C22" s="65" t="s">
        <v>18</v>
      </c>
      <c r="D22" s="65" t="s">
        <v>17</v>
      </c>
      <c r="E22" s="65" t="s">
        <v>18</v>
      </c>
      <c r="F22" s="111" t="s">
        <v>98</v>
      </c>
      <c r="G22" s="111"/>
      <c r="H22" s="111"/>
      <c r="I22" s="112"/>
      <c r="J22" s="111" t="str">
        <f>F22</f>
        <v>Combined Net Monthly</v>
      </c>
      <c r="K22" s="112"/>
      <c r="L22" s="111" t="str">
        <f>J22</f>
        <v>Combined Net Monthly</v>
      </c>
      <c r="M22" s="112"/>
      <c r="N22" s="112"/>
      <c r="O22" s="113" t="str">
        <f>L22</f>
        <v>Combined Net Monthly</v>
      </c>
      <c r="P22" s="66"/>
      <c r="X22" s="55"/>
      <c r="Y22" t="s">
        <v>160</v>
      </c>
      <c r="Z22" s="63"/>
      <c r="AA22" s="75">
        <v>5.1299999999999998E-2</v>
      </c>
      <c r="AB22" s="48"/>
      <c r="AC22" s="46"/>
      <c r="AD22" s="46"/>
      <c r="AG22"/>
    </row>
    <row r="23" spans="1:33" s="36" customFormat="1" ht="18" x14ac:dyDescent="0.25">
      <c r="A23" s="56"/>
      <c r="B23" s="114"/>
      <c r="C23" s="114"/>
      <c r="D23" s="115" t="s">
        <v>3</v>
      </c>
      <c r="E23" s="115"/>
      <c r="F23" s="116" t="s">
        <v>3</v>
      </c>
      <c r="G23" s="116"/>
      <c r="H23" s="116"/>
      <c r="I23" s="30"/>
      <c r="J23" s="116" t="s">
        <v>3</v>
      </c>
      <c r="K23" s="30"/>
      <c r="L23" s="116" t="s">
        <v>3</v>
      </c>
      <c r="M23" s="30"/>
      <c r="N23" s="30"/>
      <c r="O23" s="117" t="s">
        <v>3</v>
      </c>
      <c r="X23" s="55"/>
      <c r="Z23" s="63"/>
      <c r="AA23" s="75">
        <v>5.1400000000000001E-2</v>
      </c>
      <c r="AB23" s="48"/>
      <c r="AC23" s="46"/>
      <c r="AD23" s="46"/>
      <c r="AG23"/>
    </row>
    <row r="24" spans="1:33" s="36" customFormat="1" ht="15.75" x14ac:dyDescent="0.25">
      <c r="A24" s="40"/>
      <c r="B24" s="39"/>
      <c r="C24" s="39"/>
      <c r="D24" s="118"/>
      <c r="E24" s="118"/>
      <c r="F24" s="119"/>
      <c r="G24" s="119"/>
      <c r="H24" s="119"/>
      <c r="I24" s="32"/>
      <c r="J24" s="119"/>
      <c r="K24" s="32"/>
      <c r="L24" s="119"/>
      <c r="M24" s="32"/>
      <c r="N24" s="32"/>
      <c r="O24" s="120"/>
      <c r="X24" s="55"/>
      <c r="Y24"/>
      <c r="Z24" s="63"/>
      <c r="AA24" s="75">
        <v>5.2200000000000003E-2</v>
      </c>
      <c r="AB24" s="48"/>
      <c r="AC24" s="46"/>
      <c r="AD24" s="46"/>
      <c r="AG24"/>
    </row>
    <row r="25" spans="1:33" s="36" customFormat="1" ht="15.75" x14ac:dyDescent="0.25">
      <c r="A25" s="40"/>
      <c r="B25" s="39"/>
      <c r="C25" s="39"/>
      <c r="D25" s="118"/>
      <c r="E25" s="118"/>
      <c r="F25" s="119"/>
      <c r="G25" s="119"/>
      <c r="H25" s="119"/>
      <c r="I25" s="32"/>
      <c r="J25" s="119"/>
      <c r="K25" s="32"/>
      <c r="L25" s="119"/>
      <c r="M25" s="32"/>
      <c r="N25" s="32"/>
      <c r="O25" s="120"/>
      <c r="X25" s="55"/>
      <c r="Y25"/>
      <c r="Z25" s="63"/>
      <c r="AA25" s="75">
        <v>5.2400000000000002E-2</v>
      </c>
      <c r="AB25" s="48"/>
      <c r="AC25" s="46"/>
      <c r="AD25" s="46"/>
      <c r="AG25"/>
    </row>
    <row r="26" spans="1:33" s="36" customFormat="1" ht="20.25" x14ac:dyDescent="0.3">
      <c r="A26" s="121" t="s">
        <v>2</v>
      </c>
      <c r="B26" s="86"/>
      <c r="C26" s="86"/>
      <c r="D26" s="68">
        <f>B26</f>
        <v>0</v>
      </c>
      <c r="E26" s="68">
        <f>C26</f>
        <v>0</v>
      </c>
      <c r="F26" s="68"/>
      <c r="G26" s="68"/>
      <c r="H26" s="68"/>
      <c r="I26" s="68"/>
      <c r="J26" s="68"/>
      <c r="K26" s="68"/>
      <c r="L26" s="68"/>
      <c r="M26" s="68"/>
      <c r="N26" s="68"/>
      <c r="O26" s="122"/>
      <c r="X26" s="55"/>
      <c r="Y26"/>
      <c r="Z26" s="63"/>
      <c r="AA26" s="75">
        <v>5.2499999999999998E-2</v>
      </c>
      <c r="AB26" s="48"/>
      <c r="AC26" s="46"/>
      <c r="AD26" s="46"/>
      <c r="AG26"/>
    </row>
    <row r="27" spans="1:33" s="36" customFormat="1" ht="20.25" x14ac:dyDescent="0.3">
      <c r="A27" s="121" t="s">
        <v>110</v>
      </c>
      <c r="B27" s="86"/>
      <c r="C27" s="86"/>
      <c r="D27" s="68">
        <f>B27</f>
        <v>0</v>
      </c>
      <c r="E27" s="68">
        <f>C27</f>
        <v>0</v>
      </c>
      <c r="F27" s="68"/>
      <c r="G27" s="68"/>
      <c r="H27" s="68"/>
      <c r="I27" s="68"/>
      <c r="J27" s="68"/>
      <c r="K27" s="68"/>
      <c r="L27" s="68"/>
      <c r="M27" s="68"/>
      <c r="N27" s="68"/>
      <c r="O27" s="122"/>
      <c r="X27" s="55"/>
      <c r="Z27" s="63"/>
      <c r="AA27" s="75">
        <v>5.2999999999999999E-2</v>
      </c>
      <c r="AB27" s="48"/>
      <c r="AC27" s="46"/>
      <c r="AD27" s="46"/>
      <c r="AG27"/>
    </row>
    <row r="28" spans="1:33" s="36" customFormat="1" ht="20.25" x14ac:dyDescent="0.3">
      <c r="A28" s="121" t="s">
        <v>59</v>
      </c>
      <c r="B28" s="86"/>
      <c r="C28" s="86"/>
      <c r="D28" s="68">
        <f t="shared" ref="D28:E31" si="0">B28*0.5</f>
        <v>0</v>
      </c>
      <c r="E28" s="68">
        <f t="shared" si="0"/>
        <v>0</v>
      </c>
      <c r="F28" s="68"/>
      <c r="G28" s="68"/>
      <c r="H28" s="68"/>
      <c r="I28" s="68"/>
      <c r="J28" s="68"/>
      <c r="K28" s="68"/>
      <c r="L28" s="68"/>
      <c r="M28" s="68"/>
      <c r="N28" s="68"/>
      <c r="O28" s="122"/>
      <c r="X28" s="55"/>
      <c r="Y28"/>
      <c r="Z28" s="63"/>
      <c r="AA28" s="75">
        <v>5.3999999999999999E-2</v>
      </c>
      <c r="AB28" s="48"/>
      <c r="AC28" s="46"/>
      <c r="AD28" s="46"/>
      <c r="AG28"/>
    </row>
    <row r="29" spans="1:33" s="36" customFormat="1" ht="20.25" x14ac:dyDescent="0.3">
      <c r="A29" s="121" t="s">
        <v>60</v>
      </c>
      <c r="B29" s="86"/>
      <c r="C29" s="86"/>
      <c r="D29" s="68">
        <f t="shared" si="0"/>
        <v>0</v>
      </c>
      <c r="E29" s="68">
        <f t="shared" si="0"/>
        <v>0</v>
      </c>
      <c r="F29" s="68"/>
      <c r="G29" s="68"/>
      <c r="H29" s="68"/>
      <c r="I29" s="68"/>
      <c r="J29" s="68"/>
      <c r="K29" s="68"/>
      <c r="L29" s="68"/>
      <c r="M29" s="68"/>
      <c r="N29" s="68"/>
      <c r="O29" s="122"/>
      <c r="X29" s="55"/>
      <c r="Y29" s="71"/>
      <c r="Z29" s="63"/>
      <c r="AA29" s="75">
        <v>5.4399999999999997E-2</v>
      </c>
      <c r="AB29" s="48"/>
      <c r="AC29" s="46"/>
      <c r="AD29" s="46"/>
      <c r="AG29"/>
    </row>
    <row r="30" spans="1:33" s="36" customFormat="1" ht="20.25" x14ac:dyDescent="0.3">
      <c r="A30" s="121" t="s">
        <v>145</v>
      </c>
      <c r="B30" s="86"/>
      <c r="C30" s="86"/>
      <c r="D30" s="68">
        <f>B30*0.6</f>
        <v>0</v>
      </c>
      <c r="E30" s="68">
        <f>C30*0.6</f>
        <v>0</v>
      </c>
      <c r="F30" s="68"/>
      <c r="G30" s="68"/>
      <c r="H30" s="68"/>
      <c r="I30" s="68"/>
      <c r="J30" s="68"/>
      <c r="K30" s="68"/>
      <c r="L30" s="68"/>
      <c r="M30" s="68"/>
      <c r="N30" s="68"/>
      <c r="O30" s="122"/>
      <c r="X30" s="55"/>
      <c r="Y30" s="71"/>
      <c r="Z30" s="63"/>
      <c r="AA30" s="75">
        <v>5.45E-2</v>
      </c>
      <c r="AB30" s="48"/>
      <c r="AC30" s="46"/>
      <c r="AD30" s="46"/>
      <c r="AG30"/>
    </row>
    <row r="31" spans="1:33" s="36" customFormat="1" ht="20.25" x14ac:dyDescent="0.3">
      <c r="A31" s="121" t="s">
        <v>4</v>
      </c>
      <c r="B31" s="86"/>
      <c r="C31" s="86"/>
      <c r="D31" s="68">
        <f t="shared" si="0"/>
        <v>0</v>
      </c>
      <c r="E31" s="68">
        <f t="shared" si="0"/>
        <v>0</v>
      </c>
      <c r="F31" s="68"/>
      <c r="G31" s="68"/>
      <c r="H31" s="68"/>
      <c r="I31" s="68"/>
      <c r="J31" s="68"/>
      <c r="K31" s="68"/>
      <c r="L31" s="68"/>
      <c r="M31" s="68"/>
      <c r="N31" s="68"/>
      <c r="O31" s="122"/>
      <c r="X31" s="55"/>
      <c r="Y31" s="71"/>
      <c r="Z31" s="63"/>
      <c r="AA31" s="75">
        <v>5.5100000000000003E-2</v>
      </c>
      <c r="AB31" s="48"/>
      <c r="AC31" s="46"/>
      <c r="AD31" s="46"/>
      <c r="AG31"/>
    </row>
    <row r="32" spans="1:33" s="36" customFormat="1" ht="20.25" x14ac:dyDescent="0.3">
      <c r="A32" s="121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22"/>
      <c r="X32" s="55"/>
      <c r="Y32" s="72"/>
      <c r="Z32" s="63"/>
      <c r="AA32" s="75">
        <v>5.5500000000000001E-2</v>
      </c>
      <c r="AB32" s="48"/>
      <c r="AC32" s="46"/>
      <c r="AD32" s="46"/>
      <c r="AG32"/>
    </row>
    <row r="33" spans="1:33" s="36" customFormat="1" ht="20.25" x14ac:dyDescent="0.3">
      <c r="A33" s="121" t="s">
        <v>5</v>
      </c>
      <c r="B33" s="67">
        <f>SUM(B26:B32)</f>
        <v>0</v>
      </c>
      <c r="C33" s="67">
        <f>SUM(C26:C32)</f>
        <v>0</v>
      </c>
      <c r="D33" s="67">
        <f>SUM(D26:D32)</f>
        <v>0</v>
      </c>
      <c r="E33" s="67">
        <f>SUM(E26:E31)</f>
        <v>0</v>
      </c>
      <c r="F33" s="67">
        <f>'Net (1) workings'!C21+'Net (2) workings'!C21</f>
        <v>0</v>
      </c>
      <c r="G33" s="68"/>
      <c r="H33" s="68"/>
      <c r="I33" s="68"/>
      <c r="J33" s="67">
        <f>F33</f>
        <v>0</v>
      </c>
      <c r="K33" s="68"/>
      <c r="L33" s="67">
        <f>J33</f>
        <v>0</v>
      </c>
      <c r="M33" s="68"/>
      <c r="N33" s="68">
        <v>0</v>
      </c>
      <c r="O33" s="123">
        <f>L33</f>
        <v>0</v>
      </c>
      <c r="X33" s="55"/>
      <c r="Y33" s="72"/>
      <c r="Z33" s="73"/>
      <c r="AA33" s="75">
        <v>5.6000000000000001E-2</v>
      </c>
      <c r="AB33" s="48"/>
      <c r="AC33" s="46"/>
      <c r="AD33" s="46"/>
      <c r="AG33"/>
    </row>
    <row r="34" spans="1:33" s="36" customFormat="1" ht="20.25" x14ac:dyDescent="0.3">
      <c r="A34" s="121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 t="e">
        <f>'Income Multiple Calc'!E24</f>
        <v>#VALUE!</v>
      </c>
      <c r="O34" s="122"/>
      <c r="X34" s="55"/>
      <c r="Y34" s="72"/>
      <c r="Z34" s="73"/>
      <c r="AA34" s="75">
        <v>5.6300000000000003E-2</v>
      </c>
      <c r="AB34" s="48"/>
      <c r="AC34" s="46"/>
      <c r="AD34" s="46"/>
      <c r="AG34"/>
    </row>
    <row r="35" spans="1:33" s="36" customFormat="1" ht="20.25" x14ac:dyDescent="0.3">
      <c r="A35" s="121" t="s">
        <v>62</v>
      </c>
      <c r="B35" s="67">
        <f>'Net (1) workings'!B21</f>
        <v>0</v>
      </c>
      <c r="C35" s="67">
        <f>'Net (2) workings'!B21</f>
        <v>0</v>
      </c>
      <c r="D35" s="67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122"/>
      <c r="X35" s="40"/>
      <c r="Y35" s="72"/>
      <c r="Z35" s="73"/>
      <c r="AA35" s="75">
        <v>5.6599999999999998E-2</v>
      </c>
      <c r="AB35" s="48"/>
      <c r="AC35" s="46"/>
      <c r="AD35" s="46"/>
      <c r="AG35"/>
    </row>
    <row r="36" spans="1:33" s="36" customFormat="1" ht="15" customHeight="1" x14ac:dyDescent="0.25">
      <c r="A36" s="4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X36" s="40"/>
      <c r="Y36" s="72"/>
      <c r="Z36" s="73"/>
      <c r="AA36" s="75">
        <v>5.6899999999999999E-2</v>
      </c>
      <c r="AB36" s="48"/>
      <c r="AC36" s="46"/>
      <c r="AD36" s="46"/>
      <c r="AG36"/>
    </row>
    <row r="37" spans="1:33" s="36" customFormat="1" ht="15.75" x14ac:dyDescent="0.25">
      <c r="A37" s="4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X37" s="40"/>
      <c r="Y37" s="72"/>
      <c r="Z37" s="73"/>
      <c r="AA37" s="75">
        <v>5.7200000000000001E-2</v>
      </c>
      <c r="AB37" s="48"/>
      <c r="AC37" s="46"/>
      <c r="AD37" s="46"/>
      <c r="AG37"/>
    </row>
    <row r="38" spans="1:33" s="36" customFormat="1" ht="18" x14ac:dyDescent="0.25">
      <c r="A38" s="4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/>
      <c r="X38" s="40"/>
      <c r="Y38" s="74"/>
      <c r="Z38" s="73"/>
      <c r="AA38" s="170">
        <v>5.74E-2</v>
      </c>
      <c r="AB38" s="48"/>
      <c r="AC38" s="46"/>
      <c r="AD38" s="46"/>
      <c r="AG38"/>
    </row>
    <row r="39" spans="1:33" s="36" customFormat="1" ht="18" x14ac:dyDescent="0.25">
      <c r="A39" s="4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X39" s="56"/>
      <c r="Y39" s="72"/>
      <c r="Z39" s="73"/>
      <c r="AA39" s="75">
        <v>5.7500000000000002E-2</v>
      </c>
      <c r="AB39" s="48"/>
      <c r="AC39" s="46"/>
      <c r="AD39" s="46"/>
      <c r="AG39"/>
    </row>
    <row r="40" spans="1:33" s="36" customFormat="1" ht="15.75" x14ac:dyDescent="0.25">
      <c r="A40" s="4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5"/>
      <c r="X40" s="40"/>
      <c r="Y40" s="72"/>
      <c r="Z40" s="73"/>
      <c r="AA40" s="75">
        <v>5.9900000000000002E-2</v>
      </c>
      <c r="AB40" s="48"/>
      <c r="AC40" s="46"/>
      <c r="AD40" s="46"/>
      <c r="AG40"/>
    </row>
    <row r="41" spans="1:33" s="38" customFormat="1" ht="20.25" x14ac:dyDescent="0.3">
      <c r="A41" s="110" t="s">
        <v>6</v>
      </c>
      <c r="B41" s="69"/>
      <c r="C41" s="69"/>
      <c r="D41" s="69"/>
      <c r="E41" s="69"/>
      <c r="F41" s="126" t="s">
        <v>15</v>
      </c>
      <c r="G41" s="126"/>
      <c r="H41" s="126"/>
      <c r="I41" s="68"/>
      <c r="J41" s="68"/>
      <c r="K41" s="68"/>
      <c r="L41" s="68"/>
      <c r="M41" s="68"/>
      <c r="N41" s="68"/>
      <c r="O41" s="122"/>
      <c r="X41" s="40"/>
      <c r="Y41" s="39"/>
      <c r="Z41" s="73"/>
      <c r="AA41" s="75">
        <v>6.4899999999999999E-2</v>
      </c>
      <c r="AB41" s="48"/>
      <c r="AC41" s="46"/>
      <c r="AD41" s="46"/>
      <c r="AE41" s="36"/>
      <c r="AG41"/>
    </row>
    <row r="42" spans="1:33" s="36" customFormat="1" ht="20.25" x14ac:dyDescent="0.3">
      <c r="A42" s="121"/>
      <c r="B42" s="68"/>
      <c r="C42" s="68"/>
      <c r="D42" s="68"/>
      <c r="E42" s="68"/>
      <c r="F42" s="126" t="s">
        <v>3</v>
      </c>
      <c r="G42" s="126"/>
      <c r="H42" s="126"/>
      <c r="I42" s="69"/>
      <c r="J42" s="126" t="s">
        <v>3</v>
      </c>
      <c r="K42" s="69"/>
      <c r="L42" s="126" t="s">
        <v>3</v>
      </c>
      <c r="M42" s="69"/>
      <c r="N42" s="69"/>
      <c r="O42" s="127" t="s">
        <v>3</v>
      </c>
      <c r="X42" s="40"/>
      <c r="Y42" s="39"/>
      <c r="Z42" s="54"/>
      <c r="AA42" s="62">
        <v>6.9900000000000004E-2</v>
      </c>
      <c r="AB42" s="48"/>
      <c r="AC42" s="46"/>
      <c r="AD42" s="46"/>
      <c r="AE42" s="38"/>
      <c r="AG42"/>
    </row>
    <row r="43" spans="1:33" s="36" customFormat="1" ht="20.25" x14ac:dyDescent="0.3">
      <c r="A43" s="128" t="s">
        <v>46</v>
      </c>
      <c r="B43" s="129"/>
      <c r="C43" s="129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122"/>
      <c r="X43" s="40"/>
      <c r="Y43" s="39"/>
      <c r="Z43" s="54"/>
      <c r="AA43" s="62"/>
      <c r="AB43" s="48"/>
      <c r="AC43" s="46"/>
      <c r="AD43" s="46"/>
      <c r="AG43"/>
    </row>
    <row r="44" spans="1:33" s="36" customFormat="1" ht="20.25" x14ac:dyDescent="0.3">
      <c r="A44" s="121" t="s">
        <v>8</v>
      </c>
      <c r="B44" s="68"/>
      <c r="C44" s="68"/>
      <c r="D44" s="68"/>
      <c r="E44" s="68"/>
      <c r="F44" s="86"/>
      <c r="G44" s="130"/>
      <c r="H44" s="130"/>
      <c r="I44" s="130"/>
      <c r="J44" s="130"/>
      <c r="K44" s="130"/>
      <c r="L44" s="130"/>
      <c r="M44" s="130"/>
      <c r="N44" s="130"/>
      <c r="O44" s="131"/>
      <c r="X44" s="40"/>
      <c r="Z44" s="54"/>
      <c r="AA44" s="62"/>
      <c r="AB44" s="48"/>
      <c r="AC44" s="46"/>
      <c r="AD44" s="46"/>
      <c r="AG44"/>
    </row>
    <row r="45" spans="1:33" s="36" customFormat="1" ht="20.25" x14ac:dyDescent="0.3">
      <c r="A45" s="121" t="s">
        <v>7</v>
      </c>
      <c r="B45" s="68"/>
      <c r="C45" s="68"/>
      <c r="D45" s="68"/>
      <c r="E45" s="68"/>
      <c r="F45" s="86"/>
      <c r="G45" s="132"/>
      <c r="H45" s="130"/>
      <c r="I45" s="130"/>
      <c r="J45" s="130"/>
      <c r="K45" s="130"/>
      <c r="L45" s="130"/>
      <c r="M45" s="130"/>
      <c r="N45" s="130"/>
      <c r="O45" s="131"/>
      <c r="Z45" s="54"/>
      <c r="AA45" s="62"/>
      <c r="AB45" s="48"/>
      <c r="AC45" s="46"/>
      <c r="AD45" s="46"/>
      <c r="AG45"/>
    </row>
    <row r="46" spans="1:33" s="36" customFormat="1" ht="20.25" x14ac:dyDescent="0.3">
      <c r="A46" s="121" t="s">
        <v>47</v>
      </c>
      <c r="B46" s="68"/>
      <c r="C46" s="68"/>
      <c r="D46" s="68"/>
      <c r="E46" s="68"/>
      <c r="F46" s="86"/>
      <c r="G46" s="130"/>
      <c r="H46" s="130"/>
      <c r="I46" s="130"/>
      <c r="J46" s="130"/>
      <c r="K46" s="130"/>
      <c r="L46" s="130"/>
      <c r="M46" s="130"/>
      <c r="N46" s="130"/>
      <c r="O46" s="131"/>
      <c r="AA46" s="62"/>
      <c r="AB46" s="48"/>
      <c r="AC46" s="46"/>
      <c r="AD46" s="46"/>
      <c r="AG46"/>
    </row>
    <row r="47" spans="1:33" s="36" customFormat="1" ht="20.25" x14ac:dyDescent="0.3">
      <c r="A47" s="121" t="s">
        <v>48</v>
      </c>
      <c r="B47" s="68"/>
      <c r="C47" s="68"/>
      <c r="D47" s="68"/>
      <c r="E47" s="68"/>
      <c r="F47" s="86"/>
      <c r="G47" s="130"/>
      <c r="H47" s="130"/>
      <c r="I47" s="130"/>
      <c r="J47" s="130"/>
      <c r="K47" s="130"/>
      <c r="L47" s="130"/>
      <c r="M47" s="130"/>
      <c r="N47" s="130"/>
      <c r="O47" s="131"/>
      <c r="AB47" s="51"/>
      <c r="AC47" s="46"/>
      <c r="AD47" s="46"/>
      <c r="AG47"/>
    </row>
    <row r="48" spans="1:33" s="36" customFormat="1" ht="20.25" x14ac:dyDescent="0.3">
      <c r="A48" s="121" t="s">
        <v>49</v>
      </c>
      <c r="B48" s="68"/>
      <c r="C48" s="68"/>
      <c r="D48" s="68"/>
      <c r="E48" s="68"/>
      <c r="F48" s="86"/>
      <c r="G48" s="130"/>
      <c r="H48" s="130"/>
      <c r="I48" s="130"/>
      <c r="J48" s="130"/>
      <c r="K48" s="130"/>
      <c r="L48" s="130"/>
      <c r="M48" s="130"/>
      <c r="N48" s="130"/>
      <c r="O48" s="131"/>
      <c r="Z48" s="47"/>
      <c r="AB48" s="51"/>
      <c r="AC48" s="46"/>
      <c r="AD48" s="46"/>
      <c r="AG48"/>
    </row>
    <row r="49" spans="1:33" s="36" customFormat="1" ht="20.25" x14ac:dyDescent="0.3">
      <c r="A49" s="121" t="s">
        <v>61</v>
      </c>
      <c r="B49" s="68"/>
      <c r="C49" s="68"/>
      <c r="D49" s="68"/>
      <c r="E49" s="68"/>
      <c r="F49" s="86"/>
      <c r="G49" s="130"/>
      <c r="H49" s="130"/>
      <c r="I49" s="130"/>
      <c r="J49" s="130"/>
      <c r="K49" s="130"/>
      <c r="L49" s="130"/>
      <c r="M49" s="130"/>
      <c r="N49" s="130"/>
      <c r="O49" s="131"/>
      <c r="AB49" s="51"/>
      <c r="AC49" s="46"/>
      <c r="AD49" s="46"/>
      <c r="AG49"/>
    </row>
    <row r="50" spans="1:33" s="36" customFormat="1" ht="20.25" x14ac:dyDescent="0.3">
      <c r="A50" s="104" t="s">
        <v>102</v>
      </c>
      <c r="B50" s="68"/>
      <c r="C50" s="68"/>
      <c r="D50" s="68"/>
      <c r="E50" s="68"/>
      <c r="F50" s="70">
        <f>SUM(F44:F49)</f>
        <v>0</v>
      </c>
      <c r="G50" s="68"/>
      <c r="H50" s="68"/>
      <c r="I50" s="68"/>
      <c r="J50" s="68"/>
      <c r="K50" s="68"/>
      <c r="L50" s="68"/>
      <c r="M50" s="68"/>
      <c r="N50" s="68"/>
      <c r="O50" s="122"/>
      <c r="Z50" s="47"/>
      <c r="AB50" s="51"/>
      <c r="AC50" s="46"/>
      <c r="AD50" s="46"/>
      <c r="AG50"/>
    </row>
    <row r="51" spans="1:33" s="36" customFormat="1" ht="20.25" x14ac:dyDescent="0.3">
      <c r="A51" s="121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122"/>
      <c r="AB51" s="51"/>
      <c r="AC51" s="46"/>
      <c r="AD51" s="46"/>
      <c r="AG51"/>
    </row>
    <row r="52" spans="1:33" s="36" customFormat="1" ht="20.25" x14ac:dyDescent="0.3">
      <c r="A52" s="128" t="s">
        <v>50</v>
      </c>
      <c r="B52" s="129"/>
      <c r="C52" s="129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22"/>
      <c r="Z52" s="47"/>
      <c r="AB52" s="51"/>
      <c r="AC52" s="46"/>
      <c r="AD52" s="46"/>
      <c r="AG52"/>
    </row>
    <row r="53" spans="1:33" s="36" customFormat="1" ht="20.25" x14ac:dyDescent="0.3">
      <c r="A53" s="121" t="s">
        <v>51</v>
      </c>
      <c r="B53" s="68"/>
      <c r="C53" s="68"/>
      <c r="D53" s="68"/>
      <c r="E53" s="68"/>
      <c r="F53" s="86"/>
      <c r="G53" s="130"/>
      <c r="H53" s="130"/>
      <c r="I53" s="130"/>
      <c r="J53" s="130"/>
      <c r="K53" s="130"/>
      <c r="L53" s="130"/>
      <c r="M53" s="130"/>
      <c r="N53" s="130"/>
      <c r="O53" s="131"/>
      <c r="Z53" s="47"/>
      <c r="AB53" s="51"/>
      <c r="AC53" s="46"/>
      <c r="AD53" s="46"/>
      <c r="AG53"/>
    </row>
    <row r="54" spans="1:33" s="36" customFormat="1" ht="20.25" x14ac:dyDescent="0.3">
      <c r="A54" s="121" t="s">
        <v>52</v>
      </c>
      <c r="B54" s="68"/>
      <c r="C54" s="68"/>
      <c r="D54" s="68"/>
      <c r="E54" s="68"/>
      <c r="F54" s="86"/>
      <c r="G54" s="130"/>
      <c r="H54" s="130"/>
      <c r="I54" s="130"/>
      <c r="J54" s="130"/>
      <c r="K54" s="130"/>
      <c r="L54" s="130"/>
      <c r="M54" s="130"/>
      <c r="N54" s="130"/>
      <c r="O54" s="131"/>
      <c r="AB54" s="51"/>
      <c r="AC54" s="46"/>
      <c r="AD54" s="46"/>
      <c r="AG54"/>
    </row>
    <row r="55" spans="1:33" s="36" customFormat="1" ht="20.25" x14ac:dyDescent="0.3">
      <c r="A55" s="121" t="s">
        <v>53</v>
      </c>
      <c r="B55" s="68"/>
      <c r="C55" s="68"/>
      <c r="D55" s="68"/>
      <c r="E55" s="68"/>
      <c r="F55" s="86"/>
      <c r="G55" s="130"/>
      <c r="H55" s="130"/>
      <c r="I55" s="130"/>
      <c r="J55" s="130"/>
      <c r="K55" s="130"/>
      <c r="L55" s="130"/>
      <c r="M55" s="130"/>
      <c r="N55" s="130"/>
      <c r="O55" s="131"/>
      <c r="AB55" s="51"/>
      <c r="AC55" s="51"/>
      <c r="AG55"/>
    </row>
    <row r="56" spans="1:33" s="36" customFormat="1" ht="20.25" x14ac:dyDescent="0.3">
      <c r="A56" s="121" t="s">
        <v>97</v>
      </c>
      <c r="B56" s="68"/>
      <c r="C56" s="68"/>
      <c r="D56" s="68"/>
      <c r="E56" s="68"/>
      <c r="F56" s="86"/>
      <c r="G56" s="130"/>
      <c r="H56" s="130"/>
      <c r="I56" s="130"/>
      <c r="J56" s="130"/>
      <c r="K56" s="130"/>
      <c r="L56" s="130"/>
      <c r="M56" s="130"/>
      <c r="N56" s="130"/>
      <c r="O56" s="131"/>
      <c r="AB56" s="51"/>
      <c r="AC56" s="51"/>
      <c r="AG56"/>
    </row>
    <row r="57" spans="1:33" s="36" customFormat="1" ht="20.25" x14ac:dyDescent="0.3">
      <c r="A57" s="121" t="s">
        <v>54</v>
      </c>
      <c r="B57" s="68"/>
      <c r="C57" s="68"/>
      <c r="D57" s="68"/>
      <c r="E57" s="68"/>
      <c r="F57" s="86"/>
      <c r="G57" s="130"/>
      <c r="H57" s="130"/>
      <c r="I57" s="130"/>
      <c r="J57" s="130"/>
      <c r="K57" s="130"/>
      <c r="L57" s="130"/>
      <c r="M57" s="130"/>
      <c r="N57" s="130"/>
      <c r="O57" s="131"/>
      <c r="Z57" s="46"/>
      <c r="AB57" s="51"/>
      <c r="AC57" s="51"/>
      <c r="AG57"/>
    </row>
    <row r="58" spans="1:33" s="36" customFormat="1" ht="20.25" x14ac:dyDescent="0.3">
      <c r="A58" s="121" t="s">
        <v>55</v>
      </c>
      <c r="B58" s="68"/>
      <c r="C58" s="68"/>
      <c r="D58" s="68"/>
      <c r="E58" s="68"/>
      <c r="F58" s="86"/>
      <c r="G58" s="130"/>
      <c r="H58" s="130"/>
      <c r="I58" s="130"/>
      <c r="J58" s="130"/>
      <c r="K58" s="130"/>
      <c r="L58" s="130"/>
      <c r="M58" s="130"/>
      <c r="N58" s="130"/>
      <c r="O58" s="131"/>
      <c r="AB58" s="51"/>
      <c r="AC58" s="51"/>
      <c r="AG58"/>
    </row>
    <row r="59" spans="1:33" s="36" customFormat="1" ht="20.25" x14ac:dyDescent="0.3">
      <c r="A59" s="121" t="s">
        <v>40</v>
      </c>
      <c r="B59" s="68"/>
      <c r="C59" s="68"/>
      <c r="D59" s="68"/>
      <c r="E59" s="68"/>
      <c r="F59" s="86"/>
      <c r="G59" s="130"/>
      <c r="H59" s="130"/>
      <c r="I59" s="130"/>
      <c r="J59" s="130"/>
      <c r="K59" s="130"/>
      <c r="L59" s="130"/>
      <c r="M59" s="130"/>
      <c r="N59" s="130"/>
      <c r="O59" s="131"/>
      <c r="AB59" s="51"/>
      <c r="AC59" s="51"/>
      <c r="AG59"/>
    </row>
    <row r="60" spans="1:33" s="36" customFormat="1" ht="20.25" x14ac:dyDescent="0.3">
      <c r="A60" s="121" t="s">
        <v>41</v>
      </c>
      <c r="B60" s="68"/>
      <c r="C60" s="68"/>
      <c r="D60" s="68"/>
      <c r="E60" s="68"/>
      <c r="F60" s="86"/>
      <c r="G60" s="130"/>
      <c r="H60" s="130"/>
      <c r="I60" s="130"/>
      <c r="J60" s="130"/>
      <c r="K60" s="130"/>
      <c r="L60" s="130"/>
      <c r="M60" s="130"/>
      <c r="N60" s="130"/>
      <c r="O60" s="131"/>
      <c r="AB60" s="51"/>
      <c r="AC60" s="51"/>
      <c r="AG60"/>
    </row>
    <row r="61" spans="1:33" s="36" customFormat="1" ht="20.25" x14ac:dyDescent="0.3">
      <c r="A61" s="128" t="s">
        <v>56</v>
      </c>
      <c r="B61" s="129"/>
      <c r="C61" s="129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122"/>
      <c r="AB61" s="51"/>
      <c r="AC61" s="51"/>
      <c r="AG61"/>
    </row>
    <row r="62" spans="1:33" s="36" customFormat="1" ht="20.25" x14ac:dyDescent="0.3">
      <c r="A62" s="121" t="s">
        <v>42</v>
      </c>
      <c r="B62" s="68"/>
      <c r="C62" s="68"/>
      <c r="D62" s="68"/>
      <c r="E62" s="68"/>
      <c r="F62" s="86"/>
      <c r="G62" s="130"/>
      <c r="H62" s="130"/>
      <c r="I62" s="130"/>
      <c r="J62" s="130"/>
      <c r="K62" s="130"/>
      <c r="L62" s="130"/>
      <c r="M62" s="130"/>
      <c r="N62" s="130"/>
      <c r="O62" s="131"/>
      <c r="AB62" s="51"/>
      <c r="AC62" s="51"/>
      <c r="AG62"/>
    </row>
    <row r="63" spans="1:33" s="36" customFormat="1" ht="20.25" x14ac:dyDescent="0.3">
      <c r="A63" s="121" t="s">
        <v>57</v>
      </c>
      <c r="B63" s="68"/>
      <c r="C63" s="68"/>
      <c r="D63" s="68"/>
      <c r="E63" s="68"/>
      <c r="F63" s="86"/>
      <c r="G63" s="130"/>
      <c r="H63" s="130"/>
      <c r="I63" s="130"/>
      <c r="J63" s="130"/>
      <c r="K63" s="130"/>
      <c r="L63" s="130"/>
      <c r="M63" s="130"/>
      <c r="N63" s="130"/>
      <c r="O63" s="131"/>
      <c r="AB63" s="51"/>
      <c r="AC63" s="51"/>
    </row>
    <row r="64" spans="1:33" s="36" customFormat="1" ht="20.25" x14ac:dyDescent="0.3">
      <c r="A64" s="121" t="s">
        <v>58</v>
      </c>
      <c r="B64" s="68"/>
      <c r="C64" s="68"/>
      <c r="D64" s="68"/>
      <c r="E64" s="68"/>
      <c r="F64" s="86"/>
      <c r="G64" s="130"/>
      <c r="H64" s="130"/>
      <c r="I64" s="130"/>
      <c r="J64" s="130"/>
      <c r="K64" s="130"/>
      <c r="L64" s="130"/>
      <c r="M64" s="130"/>
      <c r="N64" s="130"/>
      <c r="O64" s="131"/>
      <c r="AB64" s="51"/>
      <c r="AC64" s="51"/>
    </row>
    <row r="65" spans="1:31" s="36" customFormat="1" ht="20.25" x14ac:dyDescent="0.3">
      <c r="A65" s="121" t="s">
        <v>138</v>
      </c>
      <c r="B65" s="68"/>
      <c r="C65" s="68"/>
      <c r="D65" s="68"/>
      <c r="E65" s="68"/>
      <c r="F65" s="86"/>
      <c r="G65" s="130"/>
      <c r="H65" s="130"/>
      <c r="I65" s="130"/>
      <c r="J65" s="130"/>
      <c r="K65" s="130"/>
      <c r="L65" s="130"/>
      <c r="M65" s="130"/>
      <c r="N65" s="130"/>
      <c r="O65" s="131"/>
      <c r="AB65" s="51"/>
      <c r="AC65" s="51"/>
    </row>
    <row r="66" spans="1:31" s="36" customFormat="1" ht="20.25" x14ac:dyDescent="0.3">
      <c r="A66" s="121" t="s">
        <v>43</v>
      </c>
      <c r="B66" s="68"/>
      <c r="C66" s="68"/>
      <c r="D66" s="68"/>
      <c r="E66" s="68"/>
      <c r="F66" s="86"/>
      <c r="G66" s="130"/>
      <c r="H66" s="130"/>
      <c r="I66" s="130"/>
      <c r="J66" s="130"/>
      <c r="K66" s="130"/>
      <c r="L66" s="130"/>
      <c r="M66" s="130"/>
      <c r="N66" s="130"/>
      <c r="O66" s="131"/>
      <c r="AB66" s="51"/>
      <c r="AC66" s="51"/>
    </row>
    <row r="67" spans="1:31" s="36" customFormat="1" ht="20.25" x14ac:dyDescent="0.3">
      <c r="A67" s="121" t="s">
        <v>9</v>
      </c>
      <c r="B67" s="68"/>
      <c r="C67" s="68"/>
      <c r="D67" s="68"/>
      <c r="E67" s="68"/>
      <c r="F67" s="86"/>
      <c r="G67" s="130"/>
      <c r="H67" s="130"/>
      <c r="I67" s="130"/>
      <c r="J67" s="130"/>
      <c r="K67" s="130"/>
      <c r="L67" s="130"/>
      <c r="M67" s="130"/>
      <c r="N67" s="130"/>
      <c r="O67" s="131"/>
      <c r="AA67" s="38"/>
      <c r="AB67" s="51"/>
      <c r="AC67" s="51"/>
    </row>
    <row r="68" spans="1:31" s="36" customFormat="1" ht="20.25" x14ac:dyDescent="0.3">
      <c r="A68" s="104" t="s">
        <v>103</v>
      </c>
      <c r="B68" s="68"/>
      <c r="C68" s="68"/>
      <c r="D68" s="68"/>
      <c r="E68" s="68"/>
      <c r="F68" s="70">
        <f>SUM(F53:F67)</f>
        <v>0</v>
      </c>
      <c r="G68" s="68"/>
      <c r="H68" s="68"/>
      <c r="I68" s="68"/>
      <c r="J68" s="68"/>
      <c r="K68" s="68"/>
      <c r="L68" s="68"/>
      <c r="M68" s="68"/>
      <c r="N68" s="68"/>
      <c r="O68" s="122"/>
      <c r="AB68" s="51"/>
      <c r="AC68" s="51"/>
    </row>
    <row r="69" spans="1:31" s="36" customFormat="1" ht="20.25" x14ac:dyDescent="0.3">
      <c r="A69" s="121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122"/>
      <c r="AB69" s="52"/>
      <c r="AC69" s="51"/>
    </row>
    <row r="70" spans="1:31" s="36" customFormat="1" ht="20.25" x14ac:dyDescent="0.3">
      <c r="A70" s="121" t="s">
        <v>10</v>
      </c>
      <c r="B70" s="68"/>
      <c r="C70" s="68"/>
      <c r="D70" s="68"/>
      <c r="E70" s="68"/>
      <c r="F70" s="67">
        <f>F68+F50</f>
        <v>0</v>
      </c>
      <c r="G70" s="68"/>
      <c r="H70" s="68"/>
      <c r="I70" s="68"/>
      <c r="J70" s="67">
        <f>F70</f>
        <v>0</v>
      </c>
      <c r="K70" s="68"/>
      <c r="L70" s="67">
        <f>J70</f>
        <v>0</v>
      </c>
      <c r="M70" s="68"/>
      <c r="N70" s="68"/>
      <c r="O70" s="123">
        <f>L70</f>
        <v>0</v>
      </c>
      <c r="AB70" s="51"/>
      <c r="AC70" s="52"/>
    </row>
    <row r="71" spans="1:31" s="36" customFormat="1" ht="18" x14ac:dyDescent="0.25">
      <c r="A71" s="56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4"/>
      <c r="AB71" s="51"/>
      <c r="AC71" s="51"/>
      <c r="AD71" s="38"/>
    </row>
    <row r="72" spans="1:31" s="36" customFormat="1" ht="18" x14ac:dyDescent="0.25">
      <c r="A72" s="56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4"/>
      <c r="X72" s="38"/>
      <c r="Y72" s="38"/>
      <c r="AA72" s="31"/>
      <c r="AB72" s="51"/>
      <c r="AC72" s="51"/>
    </row>
    <row r="73" spans="1:31" s="36" customFormat="1" ht="18" x14ac:dyDescent="0.25">
      <c r="A73" s="56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4"/>
      <c r="AB73" s="51"/>
      <c r="AC73" s="51"/>
    </row>
    <row r="74" spans="1:31" s="38" customFormat="1" ht="20.25" x14ac:dyDescent="0.3">
      <c r="A74" s="110" t="s">
        <v>13</v>
      </c>
      <c r="B74" s="69"/>
      <c r="C74" s="69"/>
      <c r="D74" s="69"/>
      <c r="E74" s="69"/>
      <c r="F74" s="68"/>
      <c r="G74" s="68"/>
      <c r="H74" s="68"/>
      <c r="I74" s="68"/>
      <c r="J74" s="68"/>
      <c r="K74" s="68"/>
      <c r="L74" s="68"/>
      <c r="M74" s="68"/>
      <c r="N74" s="68"/>
      <c r="O74" s="122"/>
      <c r="X74" s="36"/>
      <c r="Y74" s="36"/>
      <c r="Z74" s="36"/>
      <c r="AA74" s="36"/>
      <c r="AB74" s="45"/>
      <c r="AC74" s="51"/>
      <c r="AD74" s="36"/>
      <c r="AE74" s="36"/>
    </row>
    <row r="75" spans="1:31" s="36" customFormat="1" ht="20.25" x14ac:dyDescent="0.3">
      <c r="A75" s="121" t="s">
        <v>12</v>
      </c>
      <c r="B75" s="68"/>
      <c r="C75" s="68"/>
      <c r="D75" s="68"/>
      <c r="E75" s="68"/>
      <c r="F75" s="68"/>
      <c r="G75" s="68"/>
      <c r="H75" s="68"/>
      <c r="I75" s="68"/>
      <c r="J75" s="67">
        <f>SUM(J33-J70)</f>
        <v>0</v>
      </c>
      <c r="K75" s="68"/>
      <c r="L75" s="67">
        <f>SUM(L33-L70)</f>
        <v>0</v>
      </c>
      <c r="M75" s="68"/>
      <c r="N75" s="68"/>
      <c r="O75" s="123">
        <f>SUM(O33-O70)</f>
        <v>0</v>
      </c>
      <c r="AB75" s="51"/>
      <c r="AC75" s="45"/>
      <c r="AE75" s="38"/>
    </row>
    <row r="76" spans="1:31" s="36" customFormat="1" ht="20.25" x14ac:dyDescent="0.3">
      <c r="A76" s="12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6"/>
      <c r="AA76" s="38"/>
      <c r="AB76" s="51"/>
      <c r="AC76" s="51"/>
      <c r="AD76" s="31"/>
    </row>
    <row r="77" spans="1:31" s="36" customFormat="1" ht="20.25" x14ac:dyDescent="0.3">
      <c r="A77" s="121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6"/>
      <c r="X77" s="31"/>
      <c r="Y77" s="31"/>
      <c r="AB77" s="51"/>
      <c r="AC77" s="51"/>
    </row>
    <row r="78" spans="1:31" s="36" customFormat="1" ht="75.75" customHeight="1" x14ac:dyDescent="0.3">
      <c r="A78" s="121"/>
      <c r="B78" s="135"/>
      <c r="C78" s="137" t="s">
        <v>131</v>
      </c>
      <c r="D78" s="138"/>
      <c r="E78" s="137"/>
      <c r="F78" s="137" t="s">
        <v>99</v>
      </c>
      <c r="G78" s="137" t="s">
        <v>104</v>
      </c>
      <c r="H78" s="137" t="s">
        <v>92</v>
      </c>
      <c r="I78" s="139"/>
      <c r="J78" s="140" t="s">
        <v>93</v>
      </c>
      <c r="K78" s="140"/>
      <c r="L78" s="140" t="s">
        <v>89</v>
      </c>
      <c r="M78" s="140"/>
      <c r="N78" s="140"/>
      <c r="O78" s="141" t="s">
        <v>90</v>
      </c>
      <c r="AA78" s="34"/>
      <c r="AB78" s="52"/>
      <c r="AC78" s="51"/>
    </row>
    <row r="79" spans="1:31" s="31" customFormat="1" ht="20.25" x14ac:dyDescent="0.3">
      <c r="A79" s="104" t="s">
        <v>11</v>
      </c>
      <c r="B79" s="64"/>
      <c r="C79" s="87"/>
      <c r="D79" s="85"/>
      <c r="E79" s="88"/>
      <c r="F79" s="88"/>
      <c r="G79" s="88"/>
      <c r="H79" s="89"/>
      <c r="I79" s="64"/>
      <c r="J79" s="67" t="e">
        <f>Calculator!C29</f>
        <v>#DIV/0!</v>
      </c>
      <c r="K79" s="69"/>
      <c r="L79" s="67" t="e">
        <f>Calculator!H29</f>
        <v>#DIV/0!</v>
      </c>
      <c r="M79" s="69"/>
      <c r="N79" s="69"/>
      <c r="O79" s="123" t="e">
        <f>Calculator!M29</f>
        <v>#DIV/0!</v>
      </c>
      <c r="X79" s="36"/>
      <c r="Y79" s="36"/>
      <c r="Z79" s="36"/>
      <c r="AA79" s="34"/>
      <c r="AB79" s="51"/>
      <c r="AC79" s="52"/>
      <c r="AD79" s="36"/>
      <c r="AE79" s="36"/>
    </row>
    <row r="80" spans="1:31" s="36" customFormat="1" ht="23.25" x14ac:dyDescent="0.3">
      <c r="A80" s="121" t="s">
        <v>94</v>
      </c>
      <c r="B80" s="39"/>
      <c r="C80" s="142" t="str">
        <f>IF(OR(ISBLANK(H79),ISBLANK(G79),ISBLANK(F79),ISBLANK(C79)),"    Please Complete Mortgage Details Above","")</f>
        <v xml:space="preserve">    Please Complete Mortgage Details Above</v>
      </c>
      <c r="D80" s="143"/>
      <c r="E80" s="143"/>
      <c r="F80" s="143"/>
      <c r="G80" s="143"/>
      <c r="H80" s="143"/>
      <c r="I80" s="39"/>
      <c r="J80" s="39"/>
      <c r="K80" s="39"/>
      <c r="L80" s="39"/>
      <c r="M80" s="39"/>
      <c r="N80" s="39"/>
      <c r="O80" s="41"/>
      <c r="AA80" s="34"/>
      <c r="AB80" s="49"/>
      <c r="AC80" s="51"/>
      <c r="AD80" s="38"/>
      <c r="AE80" s="31"/>
    </row>
    <row r="81" spans="1:31" s="36" customFormat="1" ht="18" x14ac:dyDescent="0.25">
      <c r="A81" s="40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1"/>
      <c r="X81" s="38"/>
      <c r="Y81" s="38"/>
      <c r="AA81" s="34"/>
      <c r="AB81" s="49"/>
      <c r="AC81" s="49"/>
    </row>
    <row r="82" spans="1:31" s="36" customFormat="1" ht="23.25" x14ac:dyDescent="0.3">
      <c r="A82" s="40"/>
      <c r="B82" s="39"/>
      <c r="C82" s="144"/>
      <c r="D82" s="39"/>
      <c r="E82" s="39"/>
      <c r="F82" s="39"/>
      <c r="G82" s="39"/>
      <c r="H82" s="39"/>
      <c r="I82" s="39"/>
      <c r="J82" s="135"/>
      <c r="K82" s="135"/>
      <c r="L82" s="135"/>
      <c r="M82" s="135"/>
      <c r="N82" s="135"/>
      <c r="O82" s="136"/>
      <c r="AA82" s="35"/>
      <c r="AB82" s="49"/>
      <c r="AC82" s="49"/>
      <c r="AD82" s="34"/>
    </row>
    <row r="83" spans="1:31" s="38" customFormat="1" ht="20.25" x14ac:dyDescent="0.3">
      <c r="A83" s="104" t="s">
        <v>14</v>
      </c>
      <c r="B83" s="30"/>
      <c r="C83" s="30"/>
      <c r="D83" s="30"/>
      <c r="E83" s="30"/>
      <c r="F83" s="114"/>
      <c r="G83" s="114"/>
      <c r="H83" s="114"/>
      <c r="I83" s="114"/>
      <c r="J83" s="67" t="e">
        <f>SUM(J75-J79)</f>
        <v>#DIV/0!</v>
      </c>
      <c r="K83" s="68"/>
      <c r="L83" s="67" t="e">
        <f>SUM(L75-L79)</f>
        <v>#DIV/0!</v>
      </c>
      <c r="M83" s="68"/>
      <c r="N83" s="68"/>
      <c r="O83" s="123" t="e">
        <f>SUM(O75-O79)</f>
        <v>#DIV/0!</v>
      </c>
      <c r="Q83" s="37"/>
      <c r="X83" s="34"/>
      <c r="Y83" s="34"/>
      <c r="AA83" s="34"/>
      <c r="AB83" s="49"/>
      <c r="AC83" s="49"/>
      <c r="AD83" s="34"/>
      <c r="AE83" s="36"/>
    </row>
    <row r="84" spans="1:31" s="36" customFormat="1" ht="23.25" x14ac:dyDescent="0.25">
      <c r="A84" s="40"/>
      <c r="B84" s="90" t="str">
        <f>IFERROR(IF(O83&lt;=0,"",IF(AND(D15&lt;&gt;2,O83&lt;((B33/12*2%)+(C33/12*2%))),"Caution - Less than 2% Net Disposable Income Remaining!","")),"")</f>
        <v/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1"/>
      <c r="X84" s="34"/>
      <c r="Y84" s="34"/>
      <c r="AA84" s="34"/>
      <c r="AB84" s="50"/>
      <c r="AC84" s="49"/>
      <c r="AD84" s="34"/>
      <c r="AE84" s="38"/>
    </row>
    <row r="85" spans="1:31" ht="20.25" x14ac:dyDescent="0.3">
      <c r="A85" s="145"/>
      <c r="B85" s="106"/>
      <c r="C85" s="106"/>
      <c r="D85" s="106"/>
      <c r="E85" s="106"/>
      <c r="F85" s="146"/>
      <c r="G85" s="106"/>
      <c r="H85" s="147"/>
      <c r="I85" s="106"/>
      <c r="J85" s="106"/>
      <c r="K85" s="106"/>
      <c r="L85" s="106"/>
      <c r="M85" s="106"/>
      <c r="N85" s="106"/>
      <c r="O85" s="107"/>
      <c r="Z85" s="36"/>
      <c r="AC85" s="50"/>
      <c r="AE85" s="36"/>
    </row>
    <row r="86" spans="1:31" ht="26.25" x14ac:dyDescent="0.4">
      <c r="A86" s="104" t="s">
        <v>35</v>
      </c>
      <c r="B86" s="201" t="str">
        <f>IFERROR(IF(AND(D15=4,O83&lt;((B33/12*2%)+(C33/12*2%))),"Do Not Proceed",IF(O83&lt;=(N33),"Do Not Proceed",IF(AND(O83&gt;=(N33),(O83&lt;=(N33))),"Refer to Branch Manager / Head of Lending","Proceed subject to Income Multiple Criteria"))),"Please complete all required details to view outcome")</f>
        <v>Please complete all required details to view outcome</v>
      </c>
      <c r="C86" s="201"/>
      <c r="D86" s="201"/>
      <c r="E86" s="201"/>
      <c r="F86" s="201"/>
      <c r="G86" s="201"/>
      <c r="H86" s="201"/>
      <c r="I86" s="201"/>
      <c r="J86" s="201"/>
      <c r="K86" s="106"/>
      <c r="L86" s="148"/>
      <c r="M86" s="148"/>
      <c r="N86" s="148"/>
      <c r="O86" s="149"/>
      <c r="S86" s="34" t="s">
        <v>91</v>
      </c>
      <c r="X86" s="36"/>
      <c r="Y86" s="36"/>
      <c r="Z86" s="36"/>
      <c r="AB86" s="51"/>
      <c r="AD86" s="35"/>
    </row>
    <row r="87" spans="1:31" ht="23.25" x14ac:dyDescent="0.35">
      <c r="A87" s="150"/>
      <c r="B87" s="180"/>
      <c r="C87" s="180"/>
      <c r="D87" s="180"/>
      <c r="E87" s="180"/>
      <c r="F87" s="180"/>
      <c r="G87" s="180"/>
      <c r="H87" s="180"/>
      <c r="I87" s="180"/>
      <c r="J87" s="180"/>
      <c r="K87" s="148"/>
      <c r="L87" s="148"/>
      <c r="M87" s="151"/>
      <c r="N87" s="148"/>
      <c r="O87" s="149"/>
      <c r="X87" s="36"/>
      <c r="Z87" s="36"/>
      <c r="AB87" s="51"/>
      <c r="AC87" s="51"/>
    </row>
    <row r="88" spans="1:31" ht="26.25" x14ac:dyDescent="0.4">
      <c r="A88" s="172" t="s">
        <v>161</v>
      </c>
      <c r="B88" s="171"/>
      <c r="C88" s="171"/>
      <c r="D88" s="171"/>
      <c r="E88" s="171"/>
      <c r="F88" s="171"/>
      <c r="G88" s="171"/>
      <c r="H88" s="171"/>
      <c r="I88" s="171"/>
      <c r="J88" s="171"/>
      <c r="K88" s="148"/>
      <c r="L88" s="148"/>
      <c r="M88" s="151"/>
      <c r="N88" s="148"/>
      <c r="O88" s="149"/>
      <c r="X88" s="36"/>
      <c r="Z88" s="36"/>
      <c r="AB88" s="51"/>
      <c r="AC88" s="51"/>
    </row>
    <row r="89" spans="1:31" ht="23.25" x14ac:dyDescent="0.35">
      <c r="A89" s="150"/>
      <c r="B89" s="171"/>
      <c r="C89" s="171"/>
      <c r="D89" s="171"/>
      <c r="E89" s="171"/>
      <c r="F89" s="171"/>
      <c r="G89" s="171"/>
      <c r="H89" s="171"/>
      <c r="I89" s="171"/>
      <c r="J89" s="171"/>
      <c r="K89" s="148"/>
      <c r="L89" s="148"/>
      <c r="M89" s="151"/>
      <c r="N89" s="148"/>
      <c r="O89" s="149"/>
      <c r="X89" s="36"/>
      <c r="Z89" s="36"/>
      <c r="AB89" s="51"/>
      <c r="AC89" s="51"/>
    </row>
    <row r="90" spans="1:31" ht="20.25" x14ac:dyDescent="0.3">
      <c r="A90" s="104" t="s">
        <v>36</v>
      </c>
      <c r="B90" s="206" t="str">
        <f>IFERROR(SUM(C79/(D33+E33)),"")</f>
        <v/>
      </c>
      <c r="C90" s="207"/>
      <c r="D90" s="152"/>
      <c r="E90" s="152"/>
      <c r="F90" s="106"/>
      <c r="G90" s="106"/>
      <c r="H90" s="106"/>
      <c r="I90" s="106"/>
      <c r="J90" s="106"/>
      <c r="K90" s="106"/>
      <c r="O90" s="107"/>
      <c r="P90" s="42"/>
      <c r="W90" s="36"/>
      <c r="X90" s="36"/>
      <c r="Z90" s="31"/>
      <c r="AA90" s="36"/>
      <c r="AB90" s="51"/>
      <c r="AC90" s="51"/>
      <c r="AD90" s="36"/>
    </row>
    <row r="91" spans="1:31" s="35" customFormat="1" ht="15" x14ac:dyDescent="0.2">
      <c r="A91" s="40"/>
      <c r="B91" s="208"/>
      <c r="C91" s="209"/>
      <c r="D91" s="152"/>
      <c r="E91" s="152"/>
      <c r="F91" s="108"/>
      <c r="G91" s="108"/>
      <c r="H91" s="108"/>
      <c r="I91" s="108"/>
      <c r="J91" s="108"/>
      <c r="K91" s="108"/>
      <c r="L91" s="108"/>
      <c r="M91" s="108"/>
      <c r="N91" s="108"/>
      <c r="O91" s="153"/>
      <c r="P91" s="42"/>
      <c r="W91" s="36"/>
      <c r="X91" s="34"/>
      <c r="Y91" s="34"/>
      <c r="Z91" s="36"/>
      <c r="AA91" s="36"/>
      <c r="AB91" s="51"/>
      <c r="AC91" s="51"/>
      <c r="AD91" s="36"/>
      <c r="AE91" s="34"/>
    </row>
    <row r="92" spans="1:31" ht="20.25" x14ac:dyDescent="0.2">
      <c r="A92" s="199"/>
      <c r="B92" s="200"/>
      <c r="C92" s="200"/>
      <c r="D92" s="154"/>
      <c r="E92" s="154"/>
      <c r="F92" s="154"/>
      <c r="G92" s="154"/>
      <c r="H92" s="154"/>
      <c r="I92" s="154"/>
      <c r="J92" s="106"/>
      <c r="K92" s="106"/>
      <c r="L92" s="106"/>
      <c r="M92" s="106"/>
      <c r="N92" s="106"/>
      <c r="O92" s="153"/>
      <c r="P92" s="42"/>
      <c r="W92" s="36"/>
      <c r="Z92" s="36"/>
      <c r="AA92" s="36"/>
      <c r="AB92" s="51"/>
      <c r="AC92" s="51"/>
      <c r="AD92" s="36"/>
      <c r="AE92" s="35"/>
    </row>
    <row r="93" spans="1:31" s="36" customFormat="1" ht="20.25" x14ac:dyDescent="0.25">
      <c r="A93" s="199"/>
      <c r="B93" s="200"/>
      <c r="C93" s="200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76"/>
      <c r="P93" s="43"/>
      <c r="W93" s="34"/>
      <c r="X93" s="34"/>
      <c r="Y93" s="34"/>
      <c r="Z93" s="38"/>
      <c r="AB93" s="51"/>
      <c r="AC93" s="51"/>
    </row>
    <row r="94" spans="1:31" s="36" customFormat="1" ht="20.25" x14ac:dyDescent="0.25">
      <c r="A94" s="210" t="s">
        <v>149</v>
      </c>
      <c r="B94" s="211"/>
      <c r="C94" s="159"/>
      <c r="D94" s="160"/>
      <c r="E94" s="160"/>
      <c r="F94" s="154"/>
      <c r="G94" s="154"/>
      <c r="H94" s="154"/>
      <c r="I94" s="154"/>
      <c r="J94" s="154"/>
      <c r="K94" s="154"/>
      <c r="L94" s="154"/>
      <c r="M94" s="154"/>
      <c r="N94" s="154"/>
      <c r="O94" s="176"/>
      <c r="P94" s="44"/>
      <c r="W94" s="34"/>
      <c r="AB94" s="51"/>
      <c r="AC94" s="51"/>
    </row>
    <row r="95" spans="1:31" s="36" customFormat="1" ht="23.25" customHeight="1" x14ac:dyDescent="0.25">
      <c r="A95" s="157" t="s">
        <v>150</v>
      </c>
      <c r="B95" s="158" t="s">
        <v>163</v>
      </c>
      <c r="C95" s="160"/>
      <c r="D95" s="160"/>
      <c r="E95" s="160"/>
      <c r="F95" s="154"/>
      <c r="G95" s="154"/>
      <c r="H95" s="154"/>
      <c r="I95" s="154"/>
      <c r="J95" s="154"/>
      <c r="K95" s="154"/>
      <c r="L95" s="154"/>
      <c r="M95" s="154"/>
      <c r="N95" s="154"/>
      <c r="O95" s="176"/>
      <c r="P95" s="44"/>
      <c r="W95" s="34"/>
      <c r="Z95" s="34"/>
      <c r="AB95" s="51"/>
      <c r="AC95" s="51"/>
    </row>
    <row r="96" spans="1:31" s="36" customFormat="1" ht="23.25" customHeight="1" x14ac:dyDescent="0.2">
      <c r="A96" s="173" t="s">
        <v>153</v>
      </c>
      <c r="B96" s="158" t="s">
        <v>164</v>
      </c>
      <c r="C96" s="160"/>
      <c r="D96" s="160"/>
      <c r="E96" s="160"/>
      <c r="F96" s="154"/>
      <c r="G96" s="154"/>
      <c r="H96" s="154"/>
      <c r="I96" s="154"/>
      <c r="J96" s="154"/>
      <c r="K96" s="154"/>
      <c r="L96" s="154"/>
      <c r="M96" s="154"/>
      <c r="N96" s="154"/>
      <c r="O96" s="176"/>
      <c r="Z96" s="34"/>
      <c r="AB96" s="51"/>
      <c r="AC96" s="51"/>
    </row>
    <row r="97" spans="1:30" s="36" customFormat="1" ht="23.25" customHeight="1" x14ac:dyDescent="0.2">
      <c r="A97" s="157" t="s">
        <v>151</v>
      </c>
      <c r="B97" s="158" t="s">
        <v>165</v>
      </c>
      <c r="C97" s="160"/>
      <c r="D97" s="160"/>
      <c r="E97" s="160"/>
      <c r="F97" s="154"/>
      <c r="G97" s="154"/>
      <c r="H97" s="154"/>
      <c r="I97" s="154"/>
      <c r="J97" s="154"/>
      <c r="K97" s="154"/>
      <c r="L97" s="154"/>
      <c r="M97" s="154"/>
      <c r="N97" s="154"/>
      <c r="O97" s="176"/>
      <c r="Z97" s="34"/>
      <c r="AB97" s="51"/>
      <c r="AC97" s="51"/>
    </row>
    <row r="98" spans="1:30" s="36" customFormat="1" ht="23.25" customHeight="1" x14ac:dyDescent="0.2">
      <c r="A98" s="157" t="s">
        <v>152</v>
      </c>
      <c r="B98" s="158" t="s">
        <v>166</v>
      </c>
      <c r="C98" s="160"/>
      <c r="D98" s="160"/>
      <c r="E98" s="160"/>
      <c r="F98" s="154"/>
      <c r="G98" s="154"/>
      <c r="H98" s="154"/>
      <c r="I98" s="154"/>
      <c r="J98" s="154"/>
      <c r="K98" s="154"/>
      <c r="L98" s="154"/>
      <c r="M98" s="154"/>
      <c r="N98" s="154"/>
      <c r="O98" s="176"/>
      <c r="Z98" s="34"/>
      <c r="AB98" s="51"/>
      <c r="AC98" s="51"/>
    </row>
    <row r="99" spans="1:30" s="36" customFormat="1" ht="23.25" customHeight="1" x14ac:dyDescent="0.2">
      <c r="A99" s="60"/>
      <c r="B99" s="160"/>
      <c r="C99" s="160"/>
      <c r="D99" s="160"/>
      <c r="E99" s="160"/>
      <c r="F99" s="154"/>
      <c r="G99" s="154"/>
      <c r="H99" s="154"/>
      <c r="I99" s="154"/>
      <c r="J99" s="154"/>
      <c r="K99" s="154"/>
      <c r="L99" s="154"/>
      <c r="M99" s="154"/>
      <c r="N99" s="154"/>
      <c r="O99" s="176"/>
      <c r="Z99" s="35"/>
      <c r="AB99" s="51"/>
      <c r="AC99" s="51"/>
    </row>
    <row r="100" spans="1:30" s="36" customFormat="1" ht="23.25" customHeight="1" x14ac:dyDescent="0.2">
      <c r="A100" s="60"/>
      <c r="B100" s="160"/>
      <c r="C100" s="160"/>
      <c r="D100" s="160"/>
      <c r="E100" s="160"/>
      <c r="F100" s="154"/>
      <c r="G100" s="154"/>
      <c r="H100" s="154"/>
      <c r="I100" s="154"/>
      <c r="J100" s="154"/>
      <c r="K100" s="154"/>
      <c r="L100" s="154"/>
      <c r="M100" s="154"/>
      <c r="N100" s="154"/>
      <c r="O100" s="176"/>
      <c r="Z100" s="34"/>
      <c r="AB100" s="51"/>
      <c r="AC100" s="51"/>
    </row>
    <row r="101" spans="1:30" s="36" customFormat="1" ht="15" x14ac:dyDescent="0.2">
      <c r="A101" s="40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155"/>
      <c r="Z101" s="34"/>
      <c r="AB101" s="51"/>
      <c r="AC101" s="51"/>
    </row>
    <row r="102" spans="1:30" s="36" customFormat="1" ht="15" x14ac:dyDescent="0.2">
      <c r="A102" s="40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N102" s="39"/>
      <c r="O102" s="41"/>
      <c r="X102" s="34"/>
      <c r="Y102" s="34"/>
      <c r="AA102" s="34"/>
      <c r="AB102" s="49"/>
      <c r="AC102" s="49"/>
      <c r="AD102" s="34"/>
    </row>
    <row r="103" spans="1:30" s="36" customFormat="1" ht="15.75" x14ac:dyDescent="0.25">
      <c r="A103" s="161" t="s">
        <v>155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108"/>
      <c r="N103" s="39"/>
      <c r="O103" s="41"/>
      <c r="X103" s="34"/>
      <c r="Y103" s="34"/>
      <c r="AA103" s="34"/>
      <c r="AB103" s="49"/>
      <c r="AC103" s="49"/>
      <c r="AD103" s="34"/>
    </row>
    <row r="104" spans="1:30" s="36" customFormat="1" ht="15" x14ac:dyDescent="0.2">
      <c r="A104" s="185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7"/>
      <c r="N104" s="162"/>
      <c r="O104" s="168"/>
      <c r="X104" s="34"/>
      <c r="Y104" s="34"/>
      <c r="AA104" s="34"/>
      <c r="AB104" s="49"/>
      <c r="AC104" s="49"/>
      <c r="AD104" s="34"/>
    </row>
    <row r="105" spans="1:30" s="36" customFormat="1" ht="15" x14ac:dyDescent="0.2">
      <c r="A105" s="188"/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90"/>
      <c r="N105" s="162"/>
      <c r="O105" s="168"/>
      <c r="X105" s="34"/>
      <c r="Y105" s="34"/>
      <c r="AA105" s="34"/>
      <c r="AB105" s="49"/>
      <c r="AC105" s="49"/>
      <c r="AD105" s="34"/>
    </row>
    <row r="106" spans="1:30" s="36" customFormat="1" ht="15" x14ac:dyDescent="0.2">
      <c r="A106" s="188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90"/>
      <c r="N106" s="162"/>
      <c r="O106" s="168"/>
      <c r="X106" s="34"/>
      <c r="Y106" s="34"/>
      <c r="AA106" s="34"/>
      <c r="AB106" s="49"/>
      <c r="AC106" s="49"/>
      <c r="AD106" s="34"/>
    </row>
    <row r="107" spans="1:30" s="36" customFormat="1" ht="15" x14ac:dyDescent="0.2">
      <c r="A107" s="188"/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90"/>
      <c r="N107" s="162"/>
      <c r="O107" s="168"/>
      <c r="X107" s="34"/>
      <c r="Y107" s="34"/>
      <c r="AA107" s="34"/>
      <c r="AB107" s="49"/>
      <c r="AC107" s="49"/>
      <c r="AD107" s="34"/>
    </row>
    <row r="108" spans="1:30" s="36" customFormat="1" ht="15" x14ac:dyDescent="0.2">
      <c r="A108" s="188"/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90"/>
      <c r="N108" s="162"/>
      <c r="O108" s="168"/>
      <c r="X108" s="34"/>
      <c r="Y108" s="34"/>
      <c r="AA108" s="34"/>
      <c r="AB108" s="49"/>
      <c r="AC108" s="49"/>
      <c r="AD108" s="34"/>
    </row>
    <row r="109" spans="1:30" s="36" customFormat="1" ht="15" x14ac:dyDescent="0.2">
      <c r="A109" s="188"/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90"/>
      <c r="N109" s="162"/>
      <c r="O109" s="168"/>
      <c r="X109" s="34"/>
      <c r="Y109" s="34"/>
      <c r="AA109" s="34"/>
      <c r="AB109" s="49"/>
      <c r="AC109" s="49"/>
      <c r="AD109" s="34"/>
    </row>
    <row r="110" spans="1:30" s="36" customFormat="1" ht="15" x14ac:dyDescent="0.2">
      <c r="A110" s="188"/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90"/>
      <c r="N110" s="162"/>
      <c r="O110" s="168"/>
      <c r="X110" s="34"/>
      <c r="Y110" s="34"/>
      <c r="AA110" s="34"/>
      <c r="AB110" s="49"/>
      <c r="AC110" s="49"/>
      <c r="AD110" s="34"/>
    </row>
    <row r="111" spans="1:30" s="36" customFormat="1" ht="15" x14ac:dyDescent="0.2">
      <c r="A111" s="188"/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90"/>
      <c r="N111" s="162"/>
      <c r="O111" s="168"/>
      <c r="X111" s="34"/>
      <c r="Y111" s="34"/>
      <c r="AA111" s="34"/>
      <c r="AB111" s="49"/>
      <c r="AC111" s="49"/>
      <c r="AD111" s="34"/>
    </row>
    <row r="112" spans="1:30" s="36" customFormat="1" ht="15" x14ac:dyDescent="0.2">
      <c r="A112" s="191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3"/>
      <c r="N112" s="162"/>
      <c r="O112" s="168"/>
      <c r="X112" s="34"/>
      <c r="Y112" s="34"/>
      <c r="AA112" s="34"/>
      <c r="AB112" s="49"/>
      <c r="AC112" s="49"/>
      <c r="AD112" s="34"/>
    </row>
    <row r="113" spans="1:31" s="36" customFormat="1" ht="20.25" customHeight="1" x14ac:dyDescent="0.2">
      <c r="A113" s="169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8"/>
      <c r="X113" s="34"/>
      <c r="Y113" s="34"/>
      <c r="AA113" s="34"/>
      <c r="AB113" s="49"/>
      <c r="AC113" s="49"/>
      <c r="AD113" s="34"/>
    </row>
    <row r="114" spans="1:31" ht="15.75" x14ac:dyDescent="0.25">
      <c r="A114" s="164" t="s">
        <v>156</v>
      </c>
      <c r="B114" s="163"/>
      <c r="J114" s="156" t="s">
        <v>95</v>
      </c>
      <c r="L114" s="167">
        <f ca="1">TODAY()</f>
        <v>45631</v>
      </c>
      <c r="O114" s="107"/>
      <c r="Z114" s="36"/>
      <c r="AE114" s="36"/>
    </row>
    <row r="115" spans="1:31" ht="15" x14ac:dyDescent="0.2">
      <c r="A115" s="194"/>
      <c r="B115" s="195"/>
      <c r="O115" s="107"/>
      <c r="Z115" s="36"/>
    </row>
    <row r="116" spans="1:31" ht="15" x14ac:dyDescent="0.2">
      <c r="A116" s="196"/>
      <c r="B116" s="197"/>
      <c r="L116" s="108" t="s">
        <v>162</v>
      </c>
      <c r="M116" s="106"/>
      <c r="N116" s="106"/>
      <c r="O116" s="107"/>
      <c r="Z116" s="36"/>
    </row>
    <row r="117" spans="1:31" ht="15" x14ac:dyDescent="0.2">
      <c r="A117" s="165"/>
      <c r="B117" s="165"/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6"/>
      <c r="Z117" s="36"/>
    </row>
    <row r="118" spans="1:31" ht="15" x14ac:dyDescent="0.2">
      <c r="Z118" s="36"/>
    </row>
    <row r="119" spans="1:31" ht="15" x14ac:dyDescent="0.2">
      <c r="Z119" s="36"/>
    </row>
    <row r="120" spans="1:31" ht="15" x14ac:dyDescent="0.2">
      <c r="Z120" s="36"/>
    </row>
  </sheetData>
  <sheetProtection algorithmName="SHA-512" hashValue="hrgGp//5TsSIthgmZq2Fk3lvsgx/KSZg0/iWzdRPH7d1FYjf9+Zghzy5rw5D2L2gojgYP2oipPhW7gREgmoYyg==" saltValue="lf+qKTafTSmf4zdQdqx0xA==" spinCount="100000" sheet="1" selectLockedCells="1"/>
  <mergeCells count="19">
    <mergeCell ref="A104:M112"/>
    <mergeCell ref="A115:B116"/>
    <mergeCell ref="B13:C13"/>
    <mergeCell ref="B14:C14"/>
    <mergeCell ref="A92:C92"/>
    <mergeCell ref="A93:C93"/>
    <mergeCell ref="B86:J86"/>
    <mergeCell ref="A19:C19"/>
    <mergeCell ref="A20:C20"/>
    <mergeCell ref="A21:C21"/>
    <mergeCell ref="B15:C15"/>
    <mergeCell ref="B90:C91"/>
    <mergeCell ref="A94:B94"/>
    <mergeCell ref="A18:C18"/>
    <mergeCell ref="B11:C11"/>
    <mergeCell ref="B87:J87"/>
    <mergeCell ref="B12:C12"/>
    <mergeCell ref="B2:O4"/>
    <mergeCell ref="J8:L9"/>
  </mergeCells>
  <phoneticPr fontId="0" type="noConversion"/>
  <conditionalFormatting sqref="O83">
    <cfRule type="expression" dxfId="7" priority="10">
      <formula>IF(O83&lt;((B33/12*2%)+(C33/12*2%)),TRUE,FALSE)</formula>
    </cfRule>
  </conditionalFormatting>
  <conditionalFormatting sqref="B87:B89">
    <cfRule type="cellIs" dxfId="6" priority="7" stopIfTrue="1" operator="equal">
      <formula>$S$86</formula>
    </cfRule>
    <cfRule type="cellIs" dxfId="5" priority="8" stopIfTrue="1" operator="equal">
      <formula>$S$91</formula>
    </cfRule>
    <cfRule type="cellIs" dxfId="4" priority="9" stopIfTrue="1" operator="equal">
      <formula>$S$92</formula>
    </cfRule>
  </conditionalFormatting>
  <conditionalFormatting sqref="B16:H16">
    <cfRule type="expression" dxfId="3" priority="5">
      <formula>IF($B$16&lt;&gt;"",TRUE,FALSE)</formula>
    </cfRule>
  </conditionalFormatting>
  <conditionalFormatting sqref="B86:J86">
    <cfRule type="expression" dxfId="2" priority="3">
      <formula>IF($B$86="Do Not Proceed",TRUE,FALSE)</formula>
    </cfRule>
    <cfRule type="expression" dxfId="1" priority="4">
      <formula>IF($B$86="Proceed subject to Income Multiple Criteria",TRUE,FALSE)</formula>
    </cfRule>
  </conditionalFormatting>
  <conditionalFormatting sqref="C80:H80">
    <cfRule type="expression" dxfId="0" priority="1">
      <formula>IF($C$80&lt;&gt;"",TRUE,FALSE)</formula>
    </cfRule>
  </conditionalFormatting>
  <dataValidations count="3">
    <dataValidation type="list" allowBlank="1" showInputMessage="1" showErrorMessage="1" sqref="B14:C14" xr:uid="{00000000-0002-0000-0100-000000000000}">
      <formula1>INDIRECT(B13)</formula1>
    </dataValidation>
    <dataValidation type="list" allowBlank="1" showInputMessage="1" showErrorMessage="1" sqref="B13:C13 B15:C15 B11:C11" xr:uid="{A296351A-949A-410E-A615-068984ED6AEC}">
      <formula1>$X$8:$Y$8</formula1>
    </dataValidation>
    <dataValidation type="list" allowBlank="1" showInputMessage="1" showErrorMessage="1" sqref="B12:C12" xr:uid="{4BC72AA4-FFB3-4700-AF59-F96AD9D47634}">
      <formula1>$AB$8:$AB$10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scale="31" orientation="portrait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34"/>
  <sheetViews>
    <sheetView workbookViewId="0">
      <selection activeCell="F14" sqref="F14"/>
    </sheetView>
  </sheetViews>
  <sheetFormatPr defaultRowHeight="12.75" x14ac:dyDescent="0.2"/>
  <cols>
    <col min="1" max="1" width="21" customWidth="1"/>
    <col min="2" max="3" width="9.140625" style="1"/>
    <col min="7" max="7" width="10.7109375" customWidth="1"/>
  </cols>
  <sheetData>
    <row r="1" spans="1:9" x14ac:dyDescent="0.2">
      <c r="F1" t="s">
        <v>19</v>
      </c>
      <c r="H1" s="4">
        <f>12570-B33</f>
        <v>12570</v>
      </c>
    </row>
    <row r="2" spans="1:9" x14ac:dyDescent="0.2">
      <c r="B2" s="1" t="s">
        <v>20</v>
      </c>
      <c r="C2" s="1" t="s">
        <v>15</v>
      </c>
      <c r="H2" s="1"/>
    </row>
    <row r="3" spans="1:9" x14ac:dyDescent="0.2">
      <c r="F3" t="s">
        <v>21</v>
      </c>
      <c r="G3" t="s">
        <v>22</v>
      </c>
      <c r="H3" s="1"/>
    </row>
    <row r="4" spans="1:9" x14ac:dyDescent="0.2">
      <c r="A4" t="s">
        <v>23</v>
      </c>
      <c r="B4" s="2">
        <f>Affordability!D33</f>
        <v>0</v>
      </c>
      <c r="C4" s="1">
        <f>B4/12</f>
        <v>0</v>
      </c>
      <c r="F4" s="3">
        <v>0.2</v>
      </c>
      <c r="G4" t="s">
        <v>24</v>
      </c>
      <c r="H4" s="4">
        <v>37700</v>
      </c>
    </row>
    <row r="5" spans="1:9" x14ac:dyDescent="0.2">
      <c r="F5" s="3">
        <v>0.4</v>
      </c>
      <c r="G5" s="5" t="s">
        <v>141</v>
      </c>
      <c r="H5" s="4">
        <v>125140</v>
      </c>
    </row>
    <row r="6" spans="1:9" x14ac:dyDescent="0.2">
      <c r="A6" t="s">
        <v>19</v>
      </c>
      <c r="B6" s="79">
        <f>IF(B4&lt;125140,H1,0)</f>
        <v>12570</v>
      </c>
      <c r="C6" s="1">
        <f>B6/12</f>
        <v>1047.5</v>
      </c>
      <c r="F6" s="3">
        <v>0.45</v>
      </c>
      <c r="G6" s="5" t="s">
        <v>146</v>
      </c>
      <c r="H6" s="4"/>
    </row>
    <row r="7" spans="1:9" x14ac:dyDescent="0.2">
      <c r="H7" s="1"/>
    </row>
    <row r="8" spans="1:9" x14ac:dyDescent="0.2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9" x14ac:dyDescent="0.2">
      <c r="F9" s="3">
        <v>0</v>
      </c>
      <c r="G9" t="s">
        <v>32</v>
      </c>
      <c r="H9" s="4">
        <v>190</v>
      </c>
    </row>
    <row r="10" spans="1:9" x14ac:dyDescent="0.2">
      <c r="A10" t="s">
        <v>39</v>
      </c>
      <c r="B10" s="1">
        <f>IF(B8&lt;H4,B8*F4,H4*F4)</f>
        <v>0</v>
      </c>
      <c r="F10" s="27">
        <v>0.12</v>
      </c>
      <c r="G10" s="5" t="s">
        <v>140</v>
      </c>
      <c r="H10" s="4">
        <v>967</v>
      </c>
    </row>
    <row r="11" spans="1:9" x14ac:dyDescent="0.2">
      <c r="A11" t="s">
        <v>26</v>
      </c>
      <c r="B11" s="1">
        <f>IF(AND(B8&lt;H5,B8&gt;H4),(B8-H4)*F5,IF(B8&lt;H4,0,IF(B8&gt;H5,(H5-H4)*F5,0)))</f>
        <v>0</v>
      </c>
      <c r="F11" s="27">
        <v>0.02</v>
      </c>
      <c r="G11" s="5" t="s">
        <v>129</v>
      </c>
      <c r="H11" s="4"/>
    </row>
    <row r="12" spans="1:9" x14ac:dyDescent="0.2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9" x14ac:dyDescent="0.2">
      <c r="A13" t="s">
        <v>27</v>
      </c>
      <c r="B13" s="1">
        <f>SUM(B10:B12)</f>
        <v>0</v>
      </c>
      <c r="C13" s="1">
        <f>B13/12</f>
        <v>0</v>
      </c>
      <c r="F13" s="3">
        <v>0</v>
      </c>
      <c r="G13" t="s">
        <v>32</v>
      </c>
      <c r="H13" s="29">
        <v>1048</v>
      </c>
    </row>
    <row r="14" spans="1:9" x14ac:dyDescent="0.2">
      <c r="F14" s="27">
        <v>0.08</v>
      </c>
      <c r="G14" s="5" t="s">
        <v>142</v>
      </c>
      <c r="H14" s="1">
        <v>4189</v>
      </c>
    </row>
    <row r="15" spans="1:9" x14ac:dyDescent="0.2">
      <c r="A15" t="s">
        <v>29</v>
      </c>
      <c r="B15" s="1">
        <f>C15*12</f>
        <v>0</v>
      </c>
      <c r="C15" s="1">
        <f>(C4-H13)*F13</f>
        <v>0</v>
      </c>
      <c r="F15" s="27">
        <v>0.02</v>
      </c>
      <c r="G15" s="5" t="s">
        <v>130</v>
      </c>
      <c r="H15" s="1"/>
    </row>
    <row r="16" spans="1:9" x14ac:dyDescent="0.2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  <c r="I16" s="1"/>
    </row>
    <row r="17" spans="1:8" x14ac:dyDescent="0.2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">
      <c r="F19" s="3"/>
      <c r="G19" s="78" t="s">
        <v>147</v>
      </c>
      <c r="H19" s="1"/>
    </row>
    <row r="20" spans="1:8" x14ac:dyDescent="0.2">
      <c r="H20" s="1"/>
    </row>
    <row r="21" spans="1:8" x14ac:dyDescent="0.2">
      <c r="A21" t="s">
        <v>28</v>
      </c>
      <c r="B21" s="1">
        <f>B4-B13-B18</f>
        <v>0</v>
      </c>
      <c r="C21" s="1">
        <f>C4-C13-C18</f>
        <v>0</v>
      </c>
      <c r="G21" s="78" t="s">
        <v>139</v>
      </c>
      <c r="H21" s="1"/>
    </row>
    <row r="22" spans="1:8" x14ac:dyDescent="0.2">
      <c r="H22" s="1"/>
    </row>
    <row r="26" spans="1:8" x14ac:dyDescent="0.2">
      <c r="A26" s="28" t="s">
        <v>159</v>
      </c>
      <c r="B26" s="1">
        <v>100000</v>
      </c>
    </row>
    <row r="27" spans="1:8" x14ac:dyDescent="0.2">
      <c r="A27" s="28" t="s">
        <v>106</v>
      </c>
      <c r="B27" s="1">
        <f>B4</f>
        <v>0</v>
      </c>
    </row>
    <row r="29" spans="1:8" x14ac:dyDescent="0.2">
      <c r="A29" s="28" t="s">
        <v>108</v>
      </c>
      <c r="B29" s="1">
        <f>B27-B26</f>
        <v>-100000</v>
      </c>
    </row>
    <row r="30" spans="1:8" x14ac:dyDescent="0.2">
      <c r="A30" s="28" t="s">
        <v>109</v>
      </c>
      <c r="B30" s="1">
        <f>B29/2</f>
        <v>-50000</v>
      </c>
    </row>
    <row r="33" spans="2:2" x14ac:dyDescent="0.2">
      <c r="B33" s="1">
        <f>IF(B30&gt;0,B30,0)</f>
        <v>0</v>
      </c>
    </row>
    <row r="34" spans="2:2" x14ac:dyDescent="0.2">
      <c r="B34" s="1">
        <f>IF(B30&gt;11850,0,B30)</f>
        <v>-50000</v>
      </c>
    </row>
  </sheetData>
  <phoneticPr fontId="0" type="noConversion"/>
  <hyperlinks>
    <hyperlink ref="G21" r:id="rId1" display="https://www.gov.uk/national-insurance/how-much-you-pay" xr:uid="{176B2268-CDB1-4ACC-92DD-0733D8AF853B}"/>
    <hyperlink ref="G19" r:id="rId2" display="https://www.gov.uk/guidance/rates-and-thresholds-for-employers-2023-to-2024" xr:uid="{D740F8C7-F246-4597-A814-10744CA67A64}"/>
  </hyperlinks>
  <pageMargins left="0.74803149606299213" right="0.74803149606299213" top="0.98425196850393704" bottom="0.98425196850393704" header="0.51181102362204722" footer="0.51181102362204722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H34"/>
  <sheetViews>
    <sheetView workbookViewId="0">
      <selection activeCell="F18" sqref="F18"/>
    </sheetView>
  </sheetViews>
  <sheetFormatPr defaultRowHeight="12.75" x14ac:dyDescent="0.2"/>
  <cols>
    <col min="1" max="1" width="21" customWidth="1"/>
    <col min="2" max="3" width="9.140625" style="1"/>
    <col min="6" max="6" width="11.28515625" customWidth="1"/>
    <col min="7" max="7" width="9.85546875" customWidth="1"/>
  </cols>
  <sheetData>
    <row r="1" spans="1:8" x14ac:dyDescent="0.2">
      <c r="F1" t="s">
        <v>19</v>
      </c>
      <c r="H1" s="4">
        <f>12570-B33</f>
        <v>12570</v>
      </c>
    </row>
    <row r="2" spans="1:8" x14ac:dyDescent="0.2">
      <c r="B2" s="1" t="s">
        <v>20</v>
      </c>
      <c r="C2" s="1" t="s">
        <v>15</v>
      </c>
      <c r="H2" s="1"/>
    </row>
    <row r="3" spans="1:8" x14ac:dyDescent="0.2">
      <c r="F3" t="s">
        <v>21</v>
      </c>
      <c r="G3" t="s">
        <v>22</v>
      </c>
      <c r="H3" s="1"/>
    </row>
    <row r="4" spans="1:8" x14ac:dyDescent="0.2">
      <c r="A4" t="s">
        <v>23</v>
      </c>
      <c r="B4" s="2">
        <f>Affordability!E33</f>
        <v>0</v>
      </c>
      <c r="C4" s="1">
        <f>B4/12</f>
        <v>0</v>
      </c>
      <c r="F4" s="3">
        <f>'Net (1) workings'!F4</f>
        <v>0.2</v>
      </c>
      <c r="G4" t="str">
        <f>'Net (1) workings'!G4:H6</f>
        <v xml:space="preserve">0 to </v>
      </c>
      <c r="H4" s="1">
        <f>'Net (1) workings'!H4</f>
        <v>37700</v>
      </c>
    </row>
    <row r="5" spans="1:8" x14ac:dyDescent="0.2">
      <c r="F5" s="3">
        <f>'Net (1) workings'!F5</f>
        <v>0.4</v>
      </c>
      <c r="G5" t="str">
        <f>'Net (1) workings'!G5:H7</f>
        <v>37701 to</v>
      </c>
      <c r="H5" s="1">
        <f>'Net (1) workings'!H5</f>
        <v>125140</v>
      </c>
    </row>
    <row r="6" spans="1:8" x14ac:dyDescent="0.2">
      <c r="A6" t="s">
        <v>19</v>
      </c>
      <c r="B6" s="79">
        <f>IF(B4&lt;125140,H1,0)</f>
        <v>12570</v>
      </c>
      <c r="C6" s="1">
        <f>B6/12</f>
        <v>1047.5</v>
      </c>
      <c r="F6" s="3">
        <f>'Net (1) workings'!F6</f>
        <v>0.45</v>
      </c>
      <c r="G6" t="str">
        <f>'Net (1) workings'!G6:H8</f>
        <v>&gt; 125140</v>
      </c>
      <c r="H6">
        <f>'Net (1) workings'!H6:I8</f>
        <v>0</v>
      </c>
    </row>
    <row r="7" spans="1:8" x14ac:dyDescent="0.2">
      <c r="H7" s="1"/>
    </row>
    <row r="8" spans="1:8" x14ac:dyDescent="0.2">
      <c r="A8" t="s">
        <v>25</v>
      </c>
      <c r="B8" s="1">
        <f>IF((B4-B6)&gt;0,B4-B6,0)</f>
        <v>0</v>
      </c>
      <c r="C8" s="1">
        <f>IF((C4-C6)&gt;0,C4-C6,0)</f>
        <v>0</v>
      </c>
      <c r="F8" t="s">
        <v>30</v>
      </c>
      <c r="G8" t="s">
        <v>31</v>
      </c>
      <c r="H8" s="1"/>
    </row>
    <row r="9" spans="1:8" x14ac:dyDescent="0.2">
      <c r="F9" s="27">
        <f>'Net (1) workings'!F9</f>
        <v>0</v>
      </c>
      <c r="G9" t="str">
        <f>'Net (1) workings'!G9:H11</f>
        <v>0 to</v>
      </c>
      <c r="H9">
        <f>'Net (1) workings'!H9:I11</f>
        <v>190</v>
      </c>
    </row>
    <row r="10" spans="1:8" x14ac:dyDescent="0.2">
      <c r="A10" t="s">
        <v>39</v>
      </c>
      <c r="B10" s="1">
        <f>IF(B8&lt;H4,B8*F4,H4*F4)</f>
        <v>0</v>
      </c>
      <c r="F10" s="27">
        <f>'Net (1) workings'!F10</f>
        <v>0.12</v>
      </c>
      <c r="G10" t="str">
        <f>'Net (1) workings'!G10:H12</f>
        <v>190.01 to</v>
      </c>
      <c r="H10">
        <f>'Net (1) workings'!H10:I12</f>
        <v>967</v>
      </c>
    </row>
    <row r="11" spans="1:8" x14ac:dyDescent="0.2">
      <c r="A11" t="s">
        <v>26</v>
      </c>
      <c r="B11" s="1">
        <f>IF(AND(B8&lt;H5,B8&gt;H4),(B8-H4)*F5,IF(B8&lt;H4,0,IF(B8&gt;H5,(H5-H4)*F5,0)))</f>
        <v>0</v>
      </c>
      <c r="F11" s="27">
        <f>'Net (1) workings'!F11</f>
        <v>0.02</v>
      </c>
      <c r="G11" t="str">
        <f>'Net (1) workings'!G11:H13</f>
        <v>&gt; 967</v>
      </c>
      <c r="H11">
        <f>'Net (1) workings'!H11:I13</f>
        <v>0</v>
      </c>
    </row>
    <row r="12" spans="1:8" x14ac:dyDescent="0.2">
      <c r="A12" t="s">
        <v>105</v>
      </c>
      <c r="B12" s="1">
        <f>IF(B8&gt;H5,(B8-H5)*F6,0)</f>
        <v>0</v>
      </c>
      <c r="F12" t="s">
        <v>30</v>
      </c>
      <c r="G12" t="s">
        <v>33</v>
      </c>
      <c r="H12" s="1"/>
    </row>
    <row r="13" spans="1:8" x14ac:dyDescent="0.2">
      <c r="A13" t="s">
        <v>27</v>
      </c>
      <c r="B13" s="1">
        <f>SUM(B10:B12)</f>
        <v>0</v>
      </c>
      <c r="C13" s="1">
        <f>B13/12</f>
        <v>0</v>
      </c>
      <c r="F13" s="27">
        <f>'Net (1) workings'!F13</f>
        <v>0</v>
      </c>
      <c r="G13" t="str">
        <f>'Net (1) workings'!G13:H15</f>
        <v>0 to</v>
      </c>
      <c r="H13" s="80">
        <f>'Net (1) workings'!H13:I15</f>
        <v>1048</v>
      </c>
    </row>
    <row r="14" spans="1:8" x14ac:dyDescent="0.2">
      <c r="F14" s="27">
        <f>'Net (1) workings'!F14</f>
        <v>0.08</v>
      </c>
      <c r="G14" t="str">
        <f>'Net (1) workings'!G14:H16</f>
        <v>1048.01 to</v>
      </c>
      <c r="H14">
        <f>'Net (1) workings'!H14:I16</f>
        <v>4189</v>
      </c>
    </row>
    <row r="15" spans="1:8" x14ac:dyDescent="0.2">
      <c r="A15" t="s">
        <v>29</v>
      </c>
      <c r="B15" s="1">
        <f>C15*12</f>
        <v>0</v>
      </c>
      <c r="C15" s="1">
        <f>(C4-H13)*F13</f>
        <v>0</v>
      </c>
      <c r="F15" s="27">
        <f>'Net (1) workings'!F15</f>
        <v>0.02</v>
      </c>
      <c r="G15" t="str">
        <f>'Net (1) workings'!G15:H17</f>
        <v>&gt; 4189</v>
      </c>
      <c r="H15">
        <f>'Net (1) workings'!H15:I17</f>
        <v>0</v>
      </c>
    </row>
    <row r="16" spans="1:8" x14ac:dyDescent="0.2">
      <c r="A16" t="s">
        <v>37</v>
      </c>
      <c r="B16" s="1">
        <f>C16*12</f>
        <v>0</v>
      </c>
      <c r="C16" s="1">
        <f>IF(AND(C4&lt;H14,C4&gt;H13),(C4-H13)*F14,IF(C4&lt;H13,0,IF(C4&gt;H14,(H14-H13)*F14,0)))</f>
        <v>0</v>
      </c>
      <c r="H16" s="1"/>
    </row>
    <row r="17" spans="1:8" x14ac:dyDescent="0.2">
      <c r="A17" t="s">
        <v>38</v>
      </c>
      <c r="B17" s="1">
        <f>C17*12</f>
        <v>0</v>
      </c>
      <c r="C17" s="1">
        <f>IF(C4&gt;H14,(C4-H14)*F15,0)</f>
        <v>0</v>
      </c>
      <c r="F17" s="3"/>
      <c r="H17" s="1"/>
    </row>
    <row r="18" spans="1:8" x14ac:dyDescent="0.2">
      <c r="A18" t="s">
        <v>34</v>
      </c>
      <c r="B18" s="1">
        <f>SUM(B15:B17)</f>
        <v>0</v>
      </c>
      <c r="C18" s="1">
        <f>SUM(C15:C17)</f>
        <v>0</v>
      </c>
      <c r="F18" s="3"/>
      <c r="H18" s="1"/>
    </row>
    <row r="19" spans="1:8" x14ac:dyDescent="0.2">
      <c r="F19" s="3"/>
      <c r="H19" s="1"/>
    </row>
    <row r="20" spans="1:8" x14ac:dyDescent="0.2">
      <c r="H20" s="1"/>
    </row>
    <row r="21" spans="1:8" x14ac:dyDescent="0.2">
      <c r="A21" t="s">
        <v>28</v>
      </c>
      <c r="B21" s="1">
        <f>B4-B13-B18</f>
        <v>0</v>
      </c>
      <c r="C21" s="1">
        <f>C4-C13-C18</f>
        <v>0</v>
      </c>
      <c r="E21" s="1"/>
      <c r="H21" s="1"/>
    </row>
    <row r="22" spans="1:8" x14ac:dyDescent="0.2">
      <c r="H22" s="1"/>
    </row>
    <row r="26" spans="1:8" x14ac:dyDescent="0.2">
      <c r="A26" s="28" t="s">
        <v>107</v>
      </c>
      <c r="B26" s="1">
        <v>100000</v>
      </c>
    </row>
    <row r="27" spans="1:8" x14ac:dyDescent="0.2">
      <c r="A27" s="28" t="s">
        <v>106</v>
      </c>
      <c r="B27" s="1">
        <f>B4</f>
        <v>0</v>
      </c>
    </row>
    <row r="29" spans="1:8" x14ac:dyDescent="0.2">
      <c r="A29" s="28" t="s">
        <v>108</v>
      </c>
      <c r="B29" s="1">
        <f>B27-B26</f>
        <v>-100000</v>
      </c>
    </row>
    <row r="30" spans="1:8" x14ac:dyDescent="0.2">
      <c r="A30" s="28" t="s">
        <v>109</v>
      </c>
      <c r="B30" s="1">
        <f>B29/2</f>
        <v>-50000</v>
      </c>
    </row>
    <row r="33" spans="2:2" x14ac:dyDescent="0.2">
      <c r="B33" s="1">
        <f>IF(B30&gt;0,B30,0)</f>
        <v>0</v>
      </c>
    </row>
    <row r="34" spans="2:2" x14ac:dyDescent="0.2">
      <c r="B34" s="1">
        <f>IF(B30&gt;11850,0,B30)</f>
        <v>-50000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20"/>
  <sheetViews>
    <sheetView workbookViewId="0">
      <selection activeCell="E19" sqref="E19"/>
    </sheetView>
  </sheetViews>
  <sheetFormatPr defaultRowHeight="12.75" x14ac:dyDescent="0.2"/>
  <cols>
    <col min="5" max="5" width="24.42578125" customWidth="1"/>
    <col min="6" max="6" width="17.42578125" customWidth="1"/>
  </cols>
  <sheetData>
    <row r="1" spans="1:8" x14ac:dyDescent="0.2">
      <c r="G1" s="3">
        <v>0.01</v>
      </c>
      <c r="H1">
        <v>4</v>
      </c>
    </row>
    <row r="2" spans="1:8" x14ac:dyDescent="0.2">
      <c r="G2" s="3">
        <v>0.02</v>
      </c>
      <c r="H2">
        <v>4</v>
      </c>
    </row>
    <row r="3" spans="1:8" x14ac:dyDescent="0.2">
      <c r="G3" s="3">
        <v>0.03</v>
      </c>
      <c r="H3">
        <v>4</v>
      </c>
    </row>
    <row r="4" spans="1:8" x14ac:dyDescent="0.2">
      <c r="G4" s="3">
        <v>0.04</v>
      </c>
      <c r="H4">
        <v>4</v>
      </c>
    </row>
    <row r="5" spans="1:8" x14ac:dyDescent="0.2">
      <c r="G5" s="3">
        <v>0.05</v>
      </c>
      <c r="H5">
        <v>4</v>
      </c>
    </row>
    <row r="6" spans="1:8" x14ac:dyDescent="0.2">
      <c r="G6" s="3">
        <v>6.0000000000000102E-2</v>
      </c>
      <c r="H6">
        <v>4</v>
      </c>
    </row>
    <row r="7" spans="1:8" x14ac:dyDescent="0.2">
      <c r="G7" s="3">
        <v>7.0000000000000104E-2</v>
      </c>
      <c r="H7">
        <v>4</v>
      </c>
    </row>
    <row r="8" spans="1:8" x14ac:dyDescent="0.2">
      <c r="A8" s="6" t="s">
        <v>44</v>
      </c>
      <c r="G8" s="3">
        <v>8.0000000000000099E-2</v>
      </c>
      <c r="H8">
        <v>4</v>
      </c>
    </row>
    <row r="9" spans="1:8" x14ac:dyDescent="0.2">
      <c r="A9" s="7" t="s">
        <v>45</v>
      </c>
      <c r="G9" s="3">
        <v>0.09</v>
      </c>
      <c r="H9">
        <v>4</v>
      </c>
    </row>
    <row r="10" spans="1:8" x14ac:dyDescent="0.2">
      <c r="A10" s="6" t="s">
        <v>96</v>
      </c>
      <c r="G10" s="3">
        <v>0.1</v>
      </c>
      <c r="H10">
        <v>4</v>
      </c>
    </row>
    <row r="11" spans="1:8" x14ac:dyDescent="0.2">
      <c r="G11" s="3">
        <v>0.11</v>
      </c>
      <c r="H11">
        <v>4</v>
      </c>
    </row>
    <row r="12" spans="1:8" x14ac:dyDescent="0.2">
      <c r="G12" s="3">
        <v>0.12</v>
      </c>
      <c r="H12">
        <v>4</v>
      </c>
    </row>
    <row r="13" spans="1:8" x14ac:dyDescent="0.2">
      <c r="G13" s="3">
        <v>0.13</v>
      </c>
      <c r="H13">
        <v>4</v>
      </c>
    </row>
    <row r="14" spans="1:8" x14ac:dyDescent="0.2">
      <c r="G14" s="3">
        <v>0.14000000000000001</v>
      </c>
      <c r="H14">
        <v>4</v>
      </c>
    </row>
    <row r="15" spans="1:8" x14ac:dyDescent="0.2">
      <c r="G15" s="3">
        <v>0.15</v>
      </c>
      <c r="H15">
        <v>4</v>
      </c>
    </row>
    <row r="16" spans="1:8" x14ac:dyDescent="0.2">
      <c r="G16" s="3">
        <v>0.16</v>
      </c>
      <c r="H16">
        <v>4</v>
      </c>
    </row>
    <row r="17" spans="4:8" x14ac:dyDescent="0.2">
      <c r="G17" s="3">
        <v>0.17</v>
      </c>
      <c r="H17">
        <v>4</v>
      </c>
    </row>
    <row r="18" spans="4:8" x14ac:dyDescent="0.2">
      <c r="G18" s="3">
        <v>0.18</v>
      </c>
      <c r="H18">
        <v>4</v>
      </c>
    </row>
    <row r="19" spans="4:8" x14ac:dyDescent="0.2">
      <c r="D19" t="s">
        <v>100</v>
      </c>
      <c r="E19" s="27" t="e">
        <f>Affordability!C79/Affordability!B90</f>
        <v>#VALUE!</v>
      </c>
      <c r="G19" s="3">
        <v>0.19</v>
      </c>
      <c r="H19">
        <v>4</v>
      </c>
    </row>
    <row r="20" spans="4:8" x14ac:dyDescent="0.2">
      <c r="G20" s="3">
        <v>0.2</v>
      </c>
      <c r="H20">
        <v>4</v>
      </c>
    </row>
    <row r="21" spans="4:8" x14ac:dyDescent="0.2">
      <c r="G21" s="3">
        <v>0.21</v>
      </c>
      <c r="H21">
        <v>4</v>
      </c>
    </row>
    <row r="22" spans="4:8" x14ac:dyDescent="0.2">
      <c r="G22" s="3">
        <v>0.22</v>
      </c>
      <c r="H22">
        <v>4</v>
      </c>
    </row>
    <row r="23" spans="4:8" x14ac:dyDescent="0.2">
      <c r="G23" s="3">
        <v>0.23</v>
      </c>
      <c r="H23">
        <v>4</v>
      </c>
    </row>
    <row r="24" spans="4:8" x14ac:dyDescent="0.2">
      <c r="D24" s="28" t="s">
        <v>101</v>
      </c>
      <c r="E24" t="e">
        <f>VLOOKUP(E19,G1:H120,2)</f>
        <v>#VALUE!</v>
      </c>
      <c r="G24" s="3">
        <v>0.24</v>
      </c>
      <c r="H24">
        <v>4</v>
      </c>
    </row>
    <row r="25" spans="4:8" x14ac:dyDescent="0.2">
      <c r="G25" s="3">
        <v>0.25</v>
      </c>
      <c r="H25">
        <v>4</v>
      </c>
    </row>
    <row r="26" spans="4:8" x14ac:dyDescent="0.2">
      <c r="G26" s="3">
        <v>0.26</v>
      </c>
      <c r="H26">
        <v>4</v>
      </c>
    </row>
    <row r="27" spans="4:8" x14ac:dyDescent="0.2">
      <c r="G27" s="3">
        <v>0.27</v>
      </c>
      <c r="H27">
        <v>4</v>
      </c>
    </row>
    <row r="28" spans="4:8" x14ac:dyDescent="0.2">
      <c r="G28" s="3">
        <v>0.28000000000000003</v>
      </c>
      <c r="H28">
        <v>4</v>
      </c>
    </row>
    <row r="29" spans="4:8" x14ac:dyDescent="0.2">
      <c r="G29" s="3">
        <v>0.28999999999999998</v>
      </c>
      <c r="H29">
        <v>4</v>
      </c>
    </row>
    <row r="30" spans="4:8" x14ac:dyDescent="0.2">
      <c r="G30" s="3">
        <v>0.3</v>
      </c>
      <c r="H30">
        <v>4</v>
      </c>
    </row>
    <row r="31" spans="4:8" x14ac:dyDescent="0.2">
      <c r="G31" s="3">
        <v>0.31</v>
      </c>
      <c r="H31">
        <v>4</v>
      </c>
    </row>
    <row r="32" spans="4:8" x14ac:dyDescent="0.2">
      <c r="G32" s="3">
        <v>0.32</v>
      </c>
      <c r="H32">
        <v>4</v>
      </c>
    </row>
    <row r="33" spans="7:8" x14ac:dyDescent="0.2">
      <c r="G33" s="3">
        <v>0.33</v>
      </c>
      <c r="H33">
        <v>4</v>
      </c>
    </row>
    <row r="34" spans="7:8" x14ac:dyDescent="0.2">
      <c r="G34" s="3">
        <v>0.34</v>
      </c>
      <c r="H34">
        <v>4</v>
      </c>
    </row>
    <row r="35" spans="7:8" x14ac:dyDescent="0.2">
      <c r="G35" s="3">
        <v>0.35</v>
      </c>
      <c r="H35">
        <v>4</v>
      </c>
    </row>
    <row r="36" spans="7:8" x14ac:dyDescent="0.2">
      <c r="G36" s="3">
        <v>0.36</v>
      </c>
      <c r="H36">
        <v>4</v>
      </c>
    </row>
    <row r="37" spans="7:8" x14ac:dyDescent="0.2">
      <c r="G37" s="3">
        <v>0.37</v>
      </c>
      <c r="H37">
        <v>4</v>
      </c>
    </row>
    <row r="38" spans="7:8" x14ac:dyDescent="0.2">
      <c r="G38" s="3">
        <v>0.38</v>
      </c>
      <c r="H38">
        <v>4</v>
      </c>
    </row>
    <row r="39" spans="7:8" x14ac:dyDescent="0.2">
      <c r="G39" s="3">
        <v>0.39</v>
      </c>
      <c r="H39">
        <v>4</v>
      </c>
    </row>
    <row r="40" spans="7:8" x14ac:dyDescent="0.2">
      <c r="G40" s="3">
        <v>0.4</v>
      </c>
      <c r="H40">
        <v>4</v>
      </c>
    </row>
    <row r="41" spans="7:8" x14ac:dyDescent="0.2">
      <c r="G41" s="3">
        <v>0.41</v>
      </c>
      <c r="H41">
        <v>4</v>
      </c>
    </row>
    <row r="42" spans="7:8" x14ac:dyDescent="0.2">
      <c r="G42" s="3">
        <v>0.42</v>
      </c>
      <c r="H42">
        <v>4</v>
      </c>
    </row>
    <row r="43" spans="7:8" x14ac:dyDescent="0.2">
      <c r="G43" s="3">
        <v>0.43</v>
      </c>
      <c r="H43">
        <v>4</v>
      </c>
    </row>
    <row r="44" spans="7:8" x14ac:dyDescent="0.2">
      <c r="G44" s="3">
        <v>0.44</v>
      </c>
      <c r="H44">
        <v>4</v>
      </c>
    </row>
    <row r="45" spans="7:8" x14ac:dyDescent="0.2">
      <c r="G45" s="3">
        <v>0.45</v>
      </c>
      <c r="H45">
        <v>4</v>
      </c>
    </row>
    <row r="46" spans="7:8" x14ac:dyDescent="0.2">
      <c r="G46" s="3">
        <v>0.46</v>
      </c>
      <c r="H46">
        <v>4</v>
      </c>
    </row>
    <row r="47" spans="7:8" x14ac:dyDescent="0.2">
      <c r="G47" s="3">
        <v>0.47</v>
      </c>
      <c r="H47">
        <v>4</v>
      </c>
    </row>
    <row r="48" spans="7:8" x14ac:dyDescent="0.2">
      <c r="G48" s="3">
        <v>0.48</v>
      </c>
      <c r="H48">
        <v>4</v>
      </c>
    </row>
    <row r="49" spans="7:8" x14ac:dyDescent="0.2">
      <c r="G49" s="3">
        <v>0.49</v>
      </c>
      <c r="H49">
        <v>4</v>
      </c>
    </row>
    <row r="50" spans="7:8" x14ac:dyDescent="0.2">
      <c r="G50" s="3">
        <v>0.5</v>
      </c>
      <c r="H50">
        <v>4</v>
      </c>
    </row>
    <row r="51" spans="7:8" x14ac:dyDescent="0.2">
      <c r="G51" s="3">
        <v>0.51</v>
      </c>
      <c r="H51">
        <v>4</v>
      </c>
    </row>
    <row r="52" spans="7:8" x14ac:dyDescent="0.2">
      <c r="G52" s="3">
        <v>0.52</v>
      </c>
      <c r="H52">
        <v>4</v>
      </c>
    </row>
    <row r="53" spans="7:8" x14ac:dyDescent="0.2">
      <c r="G53" s="3">
        <v>0.53</v>
      </c>
      <c r="H53">
        <v>4</v>
      </c>
    </row>
    <row r="54" spans="7:8" x14ac:dyDescent="0.2">
      <c r="G54" s="3">
        <v>0.54</v>
      </c>
      <c r="H54">
        <v>4</v>
      </c>
    </row>
    <row r="55" spans="7:8" x14ac:dyDescent="0.2">
      <c r="G55" s="3">
        <v>0.55000000000000004</v>
      </c>
      <c r="H55">
        <v>4</v>
      </c>
    </row>
    <row r="56" spans="7:8" x14ac:dyDescent="0.2">
      <c r="G56" s="3">
        <v>0.56000000000000005</v>
      </c>
      <c r="H56">
        <v>4</v>
      </c>
    </row>
    <row r="57" spans="7:8" x14ac:dyDescent="0.2">
      <c r="G57" s="3">
        <v>0.56999999999999995</v>
      </c>
      <c r="H57">
        <v>4</v>
      </c>
    </row>
    <row r="58" spans="7:8" x14ac:dyDescent="0.2">
      <c r="G58" s="3">
        <v>0.57999999999999996</v>
      </c>
      <c r="H58">
        <v>4</v>
      </c>
    </row>
    <row r="59" spans="7:8" x14ac:dyDescent="0.2">
      <c r="G59" s="3">
        <v>0.59</v>
      </c>
      <c r="H59">
        <v>4</v>
      </c>
    </row>
    <row r="60" spans="7:8" x14ac:dyDescent="0.2">
      <c r="G60" s="3">
        <v>0.6</v>
      </c>
      <c r="H60">
        <v>4</v>
      </c>
    </row>
    <row r="61" spans="7:8" x14ac:dyDescent="0.2">
      <c r="G61" s="3">
        <v>0.61</v>
      </c>
      <c r="H61">
        <v>4</v>
      </c>
    </row>
    <row r="62" spans="7:8" x14ac:dyDescent="0.2">
      <c r="G62" s="3">
        <v>0.62</v>
      </c>
      <c r="H62">
        <v>4</v>
      </c>
    </row>
    <row r="63" spans="7:8" x14ac:dyDescent="0.2">
      <c r="G63" s="3">
        <v>0.63</v>
      </c>
      <c r="H63">
        <v>4</v>
      </c>
    </row>
    <row r="64" spans="7:8" x14ac:dyDescent="0.2">
      <c r="G64" s="3">
        <v>0.64</v>
      </c>
      <c r="H64">
        <v>4</v>
      </c>
    </row>
    <row r="65" spans="7:8" x14ac:dyDescent="0.2">
      <c r="G65" s="3">
        <v>0.65</v>
      </c>
      <c r="H65">
        <v>4</v>
      </c>
    </row>
    <row r="66" spans="7:8" x14ac:dyDescent="0.2">
      <c r="G66" s="3">
        <v>0.66</v>
      </c>
      <c r="H66">
        <v>4</v>
      </c>
    </row>
    <row r="67" spans="7:8" x14ac:dyDescent="0.2">
      <c r="G67" s="3">
        <v>0.67</v>
      </c>
      <c r="H67">
        <v>4</v>
      </c>
    </row>
    <row r="68" spans="7:8" x14ac:dyDescent="0.2">
      <c r="G68" s="3">
        <v>0.68</v>
      </c>
      <c r="H68">
        <v>4</v>
      </c>
    </row>
    <row r="69" spans="7:8" x14ac:dyDescent="0.2">
      <c r="G69" s="3">
        <v>0.69</v>
      </c>
      <c r="H69">
        <v>4</v>
      </c>
    </row>
    <row r="70" spans="7:8" x14ac:dyDescent="0.2">
      <c r="G70" s="3">
        <v>0.7</v>
      </c>
      <c r="H70">
        <v>4</v>
      </c>
    </row>
    <row r="71" spans="7:8" x14ac:dyDescent="0.2">
      <c r="G71" s="3">
        <v>0.71</v>
      </c>
      <c r="H71">
        <v>4</v>
      </c>
    </row>
    <row r="72" spans="7:8" x14ac:dyDescent="0.2">
      <c r="G72" s="3">
        <v>0.72</v>
      </c>
      <c r="H72">
        <v>4</v>
      </c>
    </row>
    <row r="73" spans="7:8" x14ac:dyDescent="0.2">
      <c r="G73" s="3">
        <v>0.73</v>
      </c>
      <c r="H73">
        <v>4</v>
      </c>
    </row>
    <row r="74" spans="7:8" x14ac:dyDescent="0.2">
      <c r="G74" s="3">
        <v>0.74</v>
      </c>
      <c r="H74">
        <v>4</v>
      </c>
    </row>
    <row r="75" spans="7:8" x14ac:dyDescent="0.2">
      <c r="G75" s="3">
        <v>0.75</v>
      </c>
      <c r="H75">
        <v>4</v>
      </c>
    </row>
    <row r="76" spans="7:8" x14ac:dyDescent="0.2">
      <c r="G76" s="3">
        <v>0.76</v>
      </c>
      <c r="H76">
        <v>4</v>
      </c>
    </row>
    <row r="77" spans="7:8" x14ac:dyDescent="0.2">
      <c r="G77" s="3">
        <v>0.77</v>
      </c>
      <c r="H77">
        <v>4</v>
      </c>
    </row>
    <row r="78" spans="7:8" x14ac:dyDescent="0.2">
      <c r="G78" s="3">
        <v>0.78</v>
      </c>
      <c r="H78">
        <v>4</v>
      </c>
    </row>
    <row r="79" spans="7:8" x14ac:dyDescent="0.2">
      <c r="G79" s="3">
        <v>0.79</v>
      </c>
      <c r="H79">
        <v>4</v>
      </c>
    </row>
    <row r="80" spans="7:8" x14ac:dyDescent="0.2">
      <c r="G80" s="3">
        <v>0.8</v>
      </c>
      <c r="H80">
        <v>4</v>
      </c>
    </row>
    <row r="81" spans="7:8" x14ac:dyDescent="0.2">
      <c r="G81" s="3">
        <v>0.81</v>
      </c>
      <c r="H81">
        <v>3.75</v>
      </c>
    </row>
    <row r="82" spans="7:8" x14ac:dyDescent="0.2">
      <c r="G82" s="3">
        <v>0.82</v>
      </c>
      <c r="H82">
        <v>3.75</v>
      </c>
    </row>
    <row r="83" spans="7:8" x14ac:dyDescent="0.2">
      <c r="G83" s="3">
        <v>0.83</v>
      </c>
      <c r="H83">
        <v>3.75</v>
      </c>
    </row>
    <row r="84" spans="7:8" x14ac:dyDescent="0.2">
      <c r="G84" s="3">
        <v>0.84</v>
      </c>
      <c r="H84">
        <v>3.75</v>
      </c>
    </row>
    <row r="85" spans="7:8" x14ac:dyDescent="0.2">
      <c r="G85" s="3">
        <v>0.85</v>
      </c>
      <c r="H85">
        <v>3.75</v>
      </c>
    </row>
    <row r="86" spans="7:8" x14ac:dyDescent="0.2">
      <c r="G86" s="3">
        <v>0.86</v>
      </c>
      <c r="H86">
        <v>3.75</v>
      </c>
    </row>
    <row r="87" spans="7:8" x14ac:dyDescent="0.2">
      <c r="G87" s="3">
        <v>0.87</v>
      </c>
      <c r="H87">
        <v>3.75</v>
      </c>
    </row>
    <row r="88" spans="7:8" x14ac:dyDescent="0.2">
      <c r="G88" s="3">
        <v>0.88</v>
      </c>
      <c r="H88">
        <v>3.75</v>
      </c>
    </row>
    <row r="89" spans="7:8" x14ac:dyDescent="0.2">
      <c r="G89" s="3">
        <v>0.89</v>
      </c>
      <c r="H89">
        <v>3.75</v>
      </c>
    </row>
    <row r="90" spans="7:8" x14ac:dyDescent="0.2">
      <c r="G90" s="3">
        <v>0.9</v>
      </c>
      <c r="H90">
        <v>3.75</v>
      </c>
    </row>
    <row r="91" spans="7:8" x14ac:dyDescent="0.2">
      <c r="G91" s="3">
        <v>0.91</v>
      </c>
      <c r="H91">
        <v>3.5</v>
      </c>
    </row>
    <row r="92" spans="7:8" x14ac:dyDescent="0.2">
      <c r="G92" s="3">
        <v>0.92</v>
      </c>
      <c r="H92">
        <v>3.5</v>
      </c>
    </row>
    <row r="93" spans="7:8" x14ac:dyDescent="0.2">
      <c r="G93" s="3">
        <v>0.93</v>
      </c>
      <c r="H93">
        <v>3.5</v>
      </c>
    </row>
    <row r="94" spans="7:8" x14ac:dyDescent="0.2">
      <c r="G94" s="3">
        <v>0.94</v>
      </c>
      <c r="H94">
        <v>3.5</v>
      </c>
    </row>
    <row r="95" spans="7:8" x14ac:dyDescent="0.2">
      <c r="G95" s="3">
        <v>0.95</v>
      </c>
      <c r="H95">
        <v>3.5</v>
      </c>
    </row>
    <row r="96" spans="7:8" x14ac:dyDescent="0.2">
      <c r="G96" s="3">
        <v>0.96</v>
      </c>
      <c r="H96">
        <v>0.1</v>
      </c>
    </row>
    <row r="97" spans="7:8" x14ac:dyDescent="0.2">
      <c r="G97" s="3">
        <v>0.97</v>
      </c>
      <c r="H97">
        <v>0.1</v>
      </c>
    </row>
    <row r="98" spans="7:8" x14ac:dyDescent="0.2">
      <c r="G98" s="3">
        <v>0.98</v>
      </c>
      <c r="H98">
        <v>0.1</v>
      </c>
    </row>
    <row r="99" spans="7:8" x14ac:dyDescent="0.2">
      <c r="G99" s="3">
        <v>0.99</v>
      </c>
      <c r="H99">
        <v>0.1</v>
      </c>
    </row>
    <row r="100" spans="7:8" x14ac:dyDescent="0.2">
      <c r="G100" s="3">
        <v>1</v>
      </c>
      <c r="H100">
        <v>0.1</v>
      </c>
    </row>
    <row r="101" spans="7:8" x14ac:dyDescent="0.2">
      <c r="G101" s="3">
        <v>1.01</v>
      </c>
      <c r="H101">
        <v>0.1</v>
      </c>
    </row>
    <row r="102" spans="7:8" x14ac:dyDescent="0.2">
      <c r="G102" s="3">
        <v>1.02</v>
      </c>
      <c r="H102">
        <v>0.1</v>
      </c>
    </row>
    <row r="103" spans="7:8" x14ac:dyDescent="0.2">
      <c r="G103" s="3">
        <v>1.03</v>
      </c>
      <c r="H103">
        <v>0.1</v>
      </c>
    </row>
    <row r="104" spans="7:8" x14ac:dyDescent="0.2">
      <c r="G104" s="3">
        <v>1.04</v>
      </c>
      <c r="H104">
        <v>0.1</v>
      </c>
    </row>
    <row r="105" spans="7:8" x14ac:dyDescent="0.2">
      <c r="G105" s="3">
        <v>1.05</v>
      </c>
      <c r="H105">
        <v>0.1</v>
      </c>
    </row>
    <row r="106" spans="7:8" x14ac:dyDescent="0.2">
      <c r="G106" s="3">
        <v>1.06</v>
      </c>
      <c r="H106">
        <v>0.1</v>
      </c>
    </row>
    <row r="107" spans="7:8" x14ac:dyDescent="0.2">
      <c r="G107" s="3">
        <v>1.07</v>
      </c>
      <c r="H107">
        <v>0.1</v>
      </c>
    </row>
    <row r="108" spans="7:8" x14ac:dyDescent="0.2">
      <c r="G108" s="3">
        <v>1.08</v>
      </c>
      <c r="H108">
        <v>0.1</v>
      </c>
    </row>
    <row r="109" spans="7:8" x14ac:dyDescent="0.2">
      <c r="G109" s="3">
        <v>1.0900000000000001</v>
      </c>
      <c r="H109">
        <v>0.1</v>
      </c>
    </row>
    <row r="110" spans="7:8" x14ac:dyDescent="0.2">
      <c r="G110" s="3">
        <v>1.1000000000000001</v>
      </c>
      <c r="H110">
        <v>0.1</v>
      </c>
    </row>
    <row r="111" spans="7:8" x14ac:dyDescent="0.2">
      <c r="G111" s="3">
        <v>1.1100000000000001</v>
      </c>
      <c r="H111">
        <v>0.1</v>
      </c>
    </row>
    <row r="112" spans="7:8" x14ac:dyDescent="0.2">
      <c r="G112" s="3">
        <v>1.1200000000000001</v>
      </c>
      <c r="H112">
        <v>0.1</v>
      </c>
    </row>
    <row r="113" spans="7:8" x14ac:dyDescent="0.2">
      <c r="G113" s="3">
        <v>1.1299999999999999</v>
      </c>
      <c r="H113">
        <v>0.1</v>
      </c>
    </row>
    <row r="114" spans="7:8" x14ac:dyDescent="0.2">
      <c r="G114" s="3">
        <v>1.1399999999999999</v>
      </c>
      <c r="H114">
        <v>0.1</v>
      </c>
    </row>
    <row r="115" spans="7:8" x14ac:dyDescent="0.2">
      <c r="G115" s="3">
        <v>1.1499999999999999</v>
      </c>
      <c r="H115">
        <v>0.1</v>
      </c>
    </row>
    <row r="116" spans="7:8" x14ac:dyDescent="0.2">
      <c r="G116" s="3">
        <v>1.1599999999999999</v>
      </c>
      <c r="H116">
        <v>0.1</v>
      </c>
    </row>
    <row r="117" spans="7:8" x14ac:dyDescent="0.2">
      <c r="G117" s="3">
        <v>1.17</v>
      </c>
      <c r="H117">
        <v>0.1</v>
      </c>
    </row>
    <row r="118" spans="7:8" x14ac:dyDescent="0.2">
      <c r="G118" s="3">
        <v>1.18</v>
      </c>
      <c r="H118">
        <v>0.1</v>
      </c>
    </row>
    <row r="119" spans="7:8" x14ac:dyDescent="0.2">
      <c r="G119" s="3">
        <v>1.19</v>
      </c>
      <c r="H119">
        <v>0.1</v>
      </c>
    </row>
    <row r="120" spans="7:8" x14ac:dyDescent="0.2">
      <c r="G120" s="3">
        <v>1.2</v>
      </c>
      <c r="H120"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Affordability</vt:lpstr>
      <vt:lpstr>No</vt:lpstr>
      <vt:lpstr>NoRates</vt:lpstr>
      <vt:lpstr>Affordability!Print_Area</vt:lpstr>
      <vt:lpstr>Yes</vt:lpstr>
      <vt:lpstr>YesRates</vt:lpstr>
    </vt:vector>
  </TitlesOfParts>
  <Company>progressive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department</dc:creator>
  <cp:lastModifiedBy>Martin McCloskey</cp:lastModifiedBy>
  <cp:lastPrinted>2022-10-21T15:24:54Z</cp:lastPrinted>
  <dcterms:created xsi:type="dcterms:W3CDTF">2004-11-15T17:02:58Z</dcterms:created>
  <dcterms:modified xsi:type="dcterms:W3CDTF">2024-12-05T16:38:54Z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0be3ce-1dda-42b6-8295-d75f487b0910_Enabled">
    <vt:lpwstr>true</vt:lpwstr>
  </property>
  <property fmtid="{D5CDD505-2E9C-101B-9397-08002B2CF9AE}" pid="3" name="MSIP_Label_230be3ce-1dda-42b6-8295-d75f487b0910_SetDate">
    <vt:lpwstr>2023-07-15T04:15:01Z</vt:lpwstr>
  </property>
  <property fmtid="{D5CDD505-2E9C-101B-9397-08002B2CF9AE}" pid="4" name="MSIP_Label_230be3ce-1dda-42b6-8295-d75f487b0910_Method">
    <vt:lpwstr>Privileged</vt:lpwstr>
  </property>
  <property fmtid="{D5CDD505-2E9C-101B-9397-08002B2CF9AE}" pid="5" name="MSIP_Label_230be3ce-1dda-42b6-8295-d75f487b0910_Name">
    <vt:lpwstr>Amber - GDPR</vt:lpwstr>
  </property>
  <property fmtid="{D5CDD505-2E9C-101B-9397-08002B2CF9AE}" pid="6" name="MSIP_Label_230be3ce-1dda-42b6-8295-d75f487b0910_SiteId">
    <vt:lpwstr>c2ba4bf2-0cff-48c6-b18c-d2361e254432</vt:lpwstr>
  </property>
  <property fmtid="{D5CDD505-2E9C-101B-9397-08002B2CF9AE}" pid="7" name="MSIP_Label_230be3ce-1dda-42b6-8295-d75f487b0910_ActionId">
    <vt:lpwstr>10e24571-4405-4f34-b882-49afda690c00</vt:lpwstr>
  </property>
  <property fmtid="{D5CDD505-2E9C-101B-9397-08002B2CF9AE}" pid="8" name="MSIP_Label_230be3ce-1dda-42b6-8295-d75f487b0910_ContentBits">
    <vt:lpwstr>0</vt:lpwstr>
  </property>
</Properties>
</file>